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ENGENHARIA CIVIL\PROJETOS PREFEITURA\2026\22 SEDE DAS TRÊS BARRAS\"/>
    </mc:Choice>
  </mc:AlternateContent>
  <xr:revisionPtr revIDLastSave="0" documentId="13_ncr:1_{DBECBCAE-A4F6-4721-9BD6-FED7F41229A9}" xr6:coauthVersionLast="47" xr6:coauthVersionMax="47" xr10:uidLastSave="{00000000-0000-0000-0000-000000000000}"/>
  <bookViews>
    <workbookView xWindow="-120" yWindow="-120" windowWidth="29040" windowHeight="15840" tabRatio="769" activeTab="4" xr2:uid="{00000000-000D-0000-FFFF-FFFF00000000}"/>
  </bookViews>
  <sheets>
    <sheet name="MENU" sheetId="15" r:id="rId1"/>
    <sheet name="NOVO" sheetId="3" r:id="rId2"/>
    <sheet name="DADOS" sheetId="2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BM!$C$15:$C$165</definedName>
    <definedName name="_xlnm._FilterDatabase" localSheetId="5" hidden="1">CÁLCULO!$C$15:$C$165</definedName>
    <definedName name="_xlnm._FilterDatabase" localSheetId="7" hidden="1">CRONO!$F$13:$F$129</definedName>
    <definedName name="_xlnm._FilterDatabase" localSheetId="8" hidden="1">CRONOPLE!$A$13:$A$15</definedName>
    <definedName name="_xlnm._FilterDatabase" localSheetId="4" hidden="1">ORÇAMENTO!$L$15:$L$165</definedName>
    <definedName name="_xlnm._FilterDatabase" localSheetId="9" hidden="1">PLE!$A$13:$A$52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BM!$D$1:$O$180</definedName>
    <definedName name="_xlnm.Print_Area" localSheetId="5">CÁLCULO!$E$1:$AA$173</definedName>
    <definedName name="_xlnm.Print_Area" localSheetId="7">CRONO!$H$1:$AF$129</definedName>
    <definedName name="_xlnm.Print_Area" localSheetId="0">MENU!$A$1:$I$25</definedName>
    <definedName name="_xlnm.Print_Area" localSheetId="13">OFÍCIO!$A$1:$G$56</definedName>
    <definedName name="_xlnm.Print_Area" localSheetId="4">ORÇAMENTO!$O$1:$Y$182</definedName>
    <definedName name="_xlnm.Print_Area" localSheetId="9">PLE!$B$3:$AG$53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BM!$C$15:$C$165</definedName>
    <definedName name="BM.firstrow" hidden="1">BM!$15:$15</definedName>
    <definedName name="BM.FormulaMed" hidden="1">BM!$AO$7</definedName>
    <definedName name="BM.lastrow" hidden="1">BM!$165:$165</definedName>
    <definedName name="BM.LinhaPadrão" hidden="1">BM!$14:$14</definedName>
    <definedName name="BM.MaxMed" hidden="1">IF(RegimeExecucao="Global",1,BM!$G1)</definedName>
    <definedName name="BM.MCAIXA.Filter" hidden="1">BM!$C$15:$Z$165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CÁLCULO!$C$15:$C$165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CÁLCULO!$165:$165</definedName>
    <definedName name="CÁLCULO.LinhaPadrão" hidden="1">CÁLCULO!$14:$14</definedName>
    <definedName name="CÁLCULO.margemrow" hidden="1">CÁLCULO!$173:$173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CÁLCULO!$165:$165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CÁLCULO!$165:$165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CÁLCULO!$165:$165</definedName>
    <definedName name="CÁLCULO.NúmeroDeEventos" hidden="1">IF(AUTOEVENTO&lt;&gt;"manual",MAX(CÁLCULO!$M$15:$M$165),MAX(OFFSET(EVENTOS!$C$14:$C$38,1,0)))</definedName>
    <definedName name="CÁLCULO.NúmeroDeFrentes" hidden="1">COLUMN(CÁLCULO!$AA$15)-COLUMN(CÁLCULO!$Q$15)</definedName>
    <definedName name="CÁLCULO.TotalAdmLocal" hidden="1">IF(AUTOEVENTO="manual",SUMIF(CÁLCULO!$M$15:$M$165,1,ORÇAMENTO!$X$15:$X$165),0)</definedName>
    <definedName name="CRONO.ColunaPadrão" hidden="1">CRONO!$D:$D</definedName>
    <definedName name="CRONO.Filtro" hidden="1">CRONO!$F$13:$F$129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CRONO!$124:$124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CRONO!$129:$129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CRONOPLE!$38:$38</definedName>
    <definedName name="CRONOPLE.LinhaPadrão" hidden="1">CRONOPLE!$1:$1</definedName>
    <definedName name="CRONOPLE.margemrow" hidden="1">CRONOPLE!$39:$39</definedName>
    <definedName name="CRONOPLE.ValorDoEvento" hidden="1">SUMIF(CÁLCULO!$M$15:$M$165,CRONOPLE!$B1,OFFSET(CÁLCULO!$AA$15:$AA$165,0,CRONOPLE!A$12))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EVENTOS!$38:$38</definedName>
    <definedName name="EVENTOS.LinhaPadrão" hidden="1">EVENTOS!$14:$14</definedName>
    <definedName name="EVENTOS.Lista" hidden="1">EVENTOS!$C$15:OFFSET(EVENTOS!$C$38,-1,0)</definedName>
    <definedName name="EVENTOS.ListaValidacao" hidden="1">EVENTOS!$B$15:OFFSET(EVENTOS!$B$38,-1,0)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BM!$D$168</definedName>
    <definedName name="Import.BMAFAcumulado" hidden="1">OFFSET(BM!$R$15,1,0):OFFSET(BM!$R$165,-1,0)</definedName>
    <definedName name="Import.BMArred" hidden="1">BM!$A$9</definedName>
    <definedName name="Import.CNPJ" hidden="1">DADOS!$F$39</definedName>
    <definedName name="Import.Código" hidden="1">OFFSET(ORÇAMENTO!$Q$15,1,0):OFFSET(ORÇAMENTO!$Q$165,-1,0)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OFFSET(CRONOPLE!$F$15,1,1):OFFSET(CRONOPLE!$AF$38,-1,-1)</definedName>
    <definedName name="Import.CTEF" hidden="1">DADOS!$F$37</definedName>
    <definedName name="Import.CustoUnitário" hidden="1">OFFSET(ORÇAMENTO!$U$15,1,0):OFFSET(ORÇAMENTO!$U$165,-1,0)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OFFSET(ORÇAMENTO!$R$15,1,0):OFFSET(ORÇAMENTO!$R$165,-1,0)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OFFSET(EVENTOS!$D$15,1,0):OFFSET(EVENTOS!$D$38,-1,0)</definedName>
    <definedName name="Import.Fonte" hidden="1">OFFSET(ORÇAMENTO!$P$15,1,0):OFFSET(ORÇAMENTO!$P$165,-1,0)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OFFSET(ORÇAMENTO!$M$15,1,0):OFFSET(ORÇAMENTO!$M$165,-1,0)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OFFSET(ORÇAMENTO!$V$15,1,0):OFFSET(ORÇAMENTO!$V$165,-1,0)</definedName>
    <definedName name="Import.ORÇAMENTO.DivRecurso" hidden="1">OFFSET(ORÇAMENTO!$Y$15,1,0):OFFSET(ORÇAMENTO!$Y$165,-1,0)</definedName>
    <definedName name="Import.ORÇAMENTO.Obs" hidden="1">ORÇAMENTO!$O$171</definedName>
    <definedName name="Import.PLE" hidden="1">OFFSET(PLE!$G$15,1,1):OFFSET(PLE!$AG$38,-1,-1)</definedName>
    <definedName name="Import.PLE.Datas" hidden="1">PLE!$I$41:$AF$41</definedName>
    <definedName name="Import.PLQ" hidden="1">OFFSET(CÁLCULO!$P$15,1,1):OFFSET(CÁLCULO!$AA$165,-1,-1)</definedName>
    <definedName name="Import.PLQ.MemCalc" hidden="1">OFFSET(CÁLCULO!$I$15,1,0):OFFSET(CÁLCULO!$I$165,-1,0)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OFFSET(ORÇAMENTO!$AJ$15,1,0):OFFSET(ORÇAMENTO!$AJ$165,-1,0)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OFFSET(ORÇAMENTO!$S$15,1,0):OFFSET(ORÇAMENTO!$S$165,-1,0)</definedName>
    <definedName name="Import.UnitarioLicitado" hidden="1">OFFSET(ORÇAMENTO!$AL$15,1,0):OFFSET(ORÇAMENTO!$AL$165,-1,0)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ORÇAMENTO!$L$15:$L$165</definedName>
    <definedName name="ORÇAMENTO.firstrow" hidden="1">ORÇAMENTO!$15:$15</definedName>
    <definedName name="ORÇAMENTO.Fonte" hidden="1">ORÇAMENTO!$P1</definedName>
    <definedName name="ORÇAMENTO.lastrow" hidden="1">ORÇAMENTO!$165:$165</definedName>
    <definedName name="ORÇAMENTO.LinhaPadrão" hidden="1">ORÇAMENTO!$14:$14</definedName>
    <definedName name="ORÇAMENTO.ListaCrono" hidden="1">OFFSET(ORÇAMENTO!$AD$15,1,0):OFFSET(ORÇAMENTO!$AD$165,-1,0)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OFFSET(ORÇAMENTO!$P$15,1,0):OFFSET(ORÇAMENTO!$S$165,-1,0)</definedName>
    <definedName name="ORÇAMENTO.PasteFormat2" hidden="1">OFFSET(ORÇAMENTO!$U$15,1,0):OFFSET(ORÇAMENTO!$V$165,-1,0)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OFFSET(ORÇAMENTO!$T$15,1,0):OFFSET(ORÇAMENTO!$T$165,-1,0)</definedName>
    <definedName name="ORÇAMENTO.SumCPMANUAL" hidden="1">SUMIF(ORÇAMENTO!$Z$15:$Z$165,"CP",ORÇAMENTO!$AA$15:$AA$165)</definedName>
    <definedName name="ORÇAMENTO.SumINVMANUAL" hidden="1">SUMIF(ORÇAMENTO!$Z$15:$Z$165,"RP",ORÇAMENTO!$X$15:$X$165)+SUMIF(ORÇAMENTO!$Z$15:$Z$165,"CP",ORÇAMENTO!$X$15:$X$165)+SUMIF(ORÇAMENTO!$Z$15:$Z$165,"OU",ORÇAMENTO!$X$15:$X$165)</definedName>
    <definedName name="ORÇAMENTO.SumOUTROSMANUAL" hidden="1">SUMIF(ORÇAMENTO!$Z$15:$Z$165,"OU",ORÇAMENTO!$AB$15:$AB$165)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PLE!$A$13:$A$52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PLE!$38:$38</definedName>
    <definedName name="PLE.LinhaPadrão" hidden="1">PLE!$1:$1</definedName>
    <definedName name="PLE.margemrow" hidden="1">PLE!$53:$53</definedName>
    <definedName name="PLE.Medicao" hidden="1">PLE!$J$9</definedName>
    <definedName name="PLE.MEDIÇÕES.firstrow" hidden="1">PLE!$39:$39</definedName>
    <definedName name="PLE.MEDIÇÕES.lastrow" hidden="1">PLE!$47:$47</definedName>
    <definedName name="PLE.MEDIÇÕES.LinhaPadrão" hidden="1">PLE!$39:$46</definedName>
    <definedName name="PLE.ValorDoEvento" hidden="1">SUMIF(CÁLCULO!$M$15:$M$165,PLE!$B1,OFFSET(CÁLCULO!$AA$15:$AA$165,0,PLE!A$12))</definedName>
    <definedName name="PO.ValoresBDI" hidden="1">OFFSET(ORÇAMENTO!$AH$15,1,0):OFFSET(ORÇAMENTO!$AH$165,-1,0)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</workbook>
</file>

<file path=xl/calcChain.xml><?xml version="1.0" encoding="utf-8"?>
<calcChain xmlns="http://schemas.openxmlformats.org/spreadsheetml/2006/main">
  <c r="AJ118" i="5" l="1"/>
  <c r="A69" i="5"/>
  <c r="A68" i="5"/>
  <c r="A67" i="5"/>
  <c r="AJ57" i="5" l="1"/>
  <c r="AJ152" i="5"/>
  <c r="A21" i="5" l="1"/>
  <c r="AJ64" i="5"/>
  <c r="AJ65" i="5"/>
  <c r="AJ66" i="5"/>
  <c r="AJ60" i="5"/>
  <c r="AJ59" i="5"/>
  <c r="AJ29" i="5"/>
  <c r="AJ32" i="5" s="1"/>
  <c r="AJ34" i="5"/>
  <c r="A60" i="5"/>
  <c r="A156" i="5"/>
  <c r="A162" i="5"/>
  <c r="A159" i="5"/>
  <c r="A158" i="5"/>
  <c r="A157" i="5"/>
  <c r="A155" i="5"/>
  <c r="A154" i="5"/>
  <c r="A153" i="5"/>
  <c r="A24" i="5"/>
  <c r="A116" i="5"/>
  <c r="A22" i="5" l="1"/>
  <c r="AJ120" i="5"/>
  <c r="AJ160" i="5"/>
  <c r="A20" i="5" l="1"/>
  <c r="A19" i="5"/>
  <c r="A18" i="5"/>
  <c r="A17" i="5"/>
  <c r="A150" i="5"/>
  <c r="A145" i="5"/>
  <c r="A122" i="5"/>
  <c r="A79" i="5" l="1"/>
  <c r="A78" i="5"/>
  <c r="A77" i="5"/>
  <c r="A80" i="5"/>
  <c r="A58" i="5"/>
  <c r="A50" i="5"/>
  <c r="A38" i="5"/>
  <c r="A39" i="5"/>
  <c r="A37" i="5"/>
  <c r="A36" i="5"/>
  <c r="A35" i="5"/>
  <c r="A34" i="5"/>
  <c r="A28" i="5"/>
  <c r="A49" i="5"/>
  <c r="A48" i="5"/>
  <c r="A47" i="5"/>
  <c r="A46" i="5"/>
  <c r="A45" i="5"/>
  <c r="A44" i="5"/>
  <c r="A43" i="5"/>
  <c r="A42" i="5"/>
  <c r="A41" i="5"/>
  <c r="A40" i="5"/>
  <c r="A33" i="5"/>
  <c r="A99" i="5"/>
  <c r="AJ89" i="5"/>
  <c r="A141" i="5" l="1"/>
  <c r="A140" i="5"/>
  <c r="A102" i="5"/>
  <c r="A61" i="5" l="1"/>
  <c r="A64" i="5"/>
  <c r="A139" i="5"/>
  <c r="A161" i="5"/>
  <c r="A160" i="5"/>
  <c r="A152" i="5"/>
  <c r="A151" i="5"/>
  <c r="A91" i="5"/>
  <c r="A88" i="5"/>
  <c r="A83" i="5" l="1"/>
  <c r="A82" i="5"/>
  <c r="A81" i="5"/>
  <c r="A71" i="5" l="1"/>
  <c r="AJ75" i="5"/>
  <c r="A76" i="5" l="1"/>
  <c r="A144" i="5"/>
  <c r="A75" i="5"/>
  <c r="A74" i="5"/>
  <c r="A92" i="5"/>
  <c r="A94" i="5"/>
  <c r="A97" i="5"/>
  <c r="A118" i="5"/>
  <c r="A143" i="5"/>
  <c r="A142" i="5"/>
  <c r="A66" i="5" l="1"/>
  <c r="A134" i="5"/>
  <c r="A138" i="5"/>
  <c r="A115" i="5" l="1"/>
  <c r="A111" i="5"/>
  <c r="A110" i="5"/>
  <c r="A109" i="5"/>
  <c r="A108" i="5"/>
  <c r="A107" i="5"/>
  <c r="A106" i="5"/>
  <c r="A105" i="5"/>
  <c r="A104" i="5"/>
  <c r="A114" i="5"/>
  <c r="A113" i="5"/>
  <c r="A112" i="5"/>
  <c r="A103" i="5"/>
  <c r="A101" i="5"/>
  <c r="A100" i="5"/>
  <c r="A98" i="5"/>
  <c r="A87" i="5" l="1"/>
  <c r="A86" i="5"/>
  <c r="A137" i="5"/>
  <c r="A136" i="5"/>
  <c r="A135" i="5"/>
  <c r="A133" i="5"/>
  <c r="A132" i="5"/>
  <c r="A59" i="5" l="1"/>
  <c r="A57" i="5"/>
  <c r="A56" i="5"/>
  <c r="A55" i="5"/>
  <c r="A32" i="5"/>
  <c r="A31" i="5"/>
  <c r="A30" i="5"/>
  <c r="A26" i="5"/>
  <c r="A164" i="5"/>
  <c r="A163" i="5"/>
  <c r="A149" i="5"/>
  <c r="A148" i="5"/>
  <c r="A147" i="5"/>
  <c r="A146" i="5"/>
  <c r="A131" i="5"/>
  <c r="A130" i="5"/>
  <c r="A129" i="5"/>
  <c r="A128" i="5"/>
  <c r="A127" i="5"/>
  <c r="A65" i="5"/>
  <c r="A125" i="5"/>
  <c r="A126" i="5"/>
  <c r="A25" i="5" l="1"/>
  <c r="A23" i="5"/>
  <c r="A121" i="5" l="1"/>
  <c r="A120" i="5"/>
  <c r="A62" i="5" l="1"/>
  <c r="A54" i="5"/>
  <c r="A63" i="5"/>
  <c r="H23" i="13"/>
  <c r="G23" i="13"/>
  <c r="H22" i="13"/>
  <c r="G22" i="13"/>
  <c r="E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A22" i="1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124" i="5"/>
  <c r="A123" i="5"/>
  <c r="A119" i="5"/>
  <c r="A117" i="5"/>
  <c r="A96" i="5"/>
  <c r="A95" i="5"/>
  <c r="A93" i="5"/>
  <c r="A90" i="5"/>
  <c r="A89" i="5"/>
  <c r="A85" i="5"/>
  <c r="A84" i="5"/>
  <c r="A73" i="5"/>
  <c r="A72" i="5"/>
  <c r="A70" i="5"/>
  <c r="A53" i="5"/>
  <c r="A52" i="5"/>
  <c r="A51" i="5"/>
  <c r="A29" i="5"/>
  <c r="A27" i="5"/>
  <c r="C16" i="5"/>
  <c r="C17" i="5" s="1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42" i="10"/>
  <c r="N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127" i="8" a="1"/>
  <c r="T171" i="6" a="1"/>
  <c r="T173" i="6" s="1"/>
  <c r="I171" i="6" a="1"/>
  <c r="I172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174" i="12"/>
  <c r="E175" i="12"/>
  <c r="K177" i="12" a="1"/>
  <c r="K179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165" i="6"/>
  <c r="C165" i="6"/>
  <c r="F169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115" i="8"/>
  <c r="S120" i="8"/>
  <c r="H125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175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178" i="5"/>
  <c r="T180" i="5" a="1"/>
  <c r="T180" i="5" s="1"/>
  <c r="B1" i="10"/>
  <c r="H4" i="10"/>
  <c r="V6" i="10"/>
  <c r="AE6" i="10"/>
  <c r="B7" i="10"/>
  <c r="H7" i="10"/>
  <c r="O7" i="10"/>
  <c r="V7" i="10"/>
  <c r="AE7" i="10"/>
  <c r="F12" i="10"/>
  <c r="F11" i="10" s="1"/>
  <c r="B48" i="10"/>
  <c r="W50" i="10" a="1"/>
  <c r="W51" i="10" s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172" i="12"/>
  <c r="K50" i="4"/>
  <c r="I15" i="12"/>
  <c r="O15" i="12"/>
  <c r="M15" i="12"/>
  <c r="J15" i="12" s="1"/>
  <c r="C33" i="4"/>
  <c r="K42" i="10"/>
  <c r="M42" i="10" s="1"/>
  <c r="O42" i="10" s="1"/>
  <c r="Q42" i="10" s="1"/>
  <c r="S42" i="10" s="1"/>
  <c r="U42" i="10" s="1"/>
  <c r="W42" i="10" s="1"/>
  <c r="Y42" i="10" s="1"/>
  <c r="AA42" i="10" s="1"/>
  <c r="AC42" i="10" s="1"/>
  <c r="AE42" i="10" s="1"/>
  <c r="C45" i="4"/>
  <c r="A46" i="4"/>
  <c r="A47" i="4" s="1"/>
  <c r="A48" i="4" s="1"/>
  <c r="A28" i="4"/>
  <c r="A29" i="4" s="1"/>
  <c r="C29" i="4" s="1"/>
  <c r="C27" i="4"/>
  <c r="C34" i="4"/>
  <c r="A17" i="4"/>
  <c r="A18" i="4" s="1"/>
  <c r="C16" i="4"/>
  <c r="E12" i="13"/>
  <c r="C48" i="4"/>
  <c r="A49" i="4"/>
  <c r="C49" i="4" s="1"/>
  <c r="O8" i="5"/>
  <c r="W53" i="10" l="1"/>
  <c r="B17" i="6"/>
  <c r="A17" i="6" s="1"/>
  <c r="A17" i="12"/>
  <c r="G17" i="5"/>
  <c r="W17" i="5"/>
  <c r="H17" i="12" s="1"/>
  <c r="B17" i="5"/>
  <c r="C18" i="5"/>
  <c r="AE17" i="5"/>
  <c r="N17" i="5"/>
  <c r="I17" i="5"/>
  <c r="H17" i="5"/>
  <c r="A20" i="8"/>
  <c r="N16" i="5"/>
  <c r="D16" i="6" s="1"/>
  <c r="K130" i="4"/>
  <c r="A23" i="11"/>
  <c r="A19" i="4"/>
  <c r="C19" i="4" s="1"/>
  <c r="C18" i="4"/>
  <c r="C47" i="4"/>
  <c r="C23" i="4"/>
  <c r="A14" i="11"/>
  <c r="A30" i="4"/>
  <c r="C46" i="4"/>
  <c r="E16" i="13"/>
  <c r="C28" i="4"/>
  <c r="K180" i="12"/>
  <c r="C21" i="4"/>
  <c r="C22" i="4"/>
  <c r="C17" i="4"/>
  <c r="K132" i="4"/>
  <c r="E15" i="13"/>
  <c r="A17" i="11"/>
  <c r="E21" i="13"/>
  <c r="B39" i="14"/>
  <c r="F23" i="7"/>
  <c r="F17" i="7"/>
  <c r="F16" i="7"/>
  <c r="F18" i="7"/>
  <c r="F30" i="7"/>
  <c r="F36" i="7"/>
  <c r="B16" i="5"/>
  <c r="F29" i="7"/>
  <c r="B19" i="10"/>
  <c r="B21" i="9"/>
  <c r="C17" i="7"/>
  <c r="F37" i="7"/>
  <c r="F24" i="7"/>
  <c r="F31" i="7"/>
  <c r="F19" i="7"/>
  <c r="F25" i="7"/>
  <c r="F26" i="7"/>
  <c r="F32" i="7"/>
  <c r="F33" i="7"/>
  <c r="F27" i="7"/>
  <c r="F20" i="7"/>
  <c r="F34" i="7"/>
  <c r="F21" i="7"/>
  <c r="F28" i="7"/>
  <c r="F35" i="7"/>
  <c r="F22" i="7"/>
  <c r="W52" i="10"/>
  <c r="I16" i="5"/>
  <c r="E16" i="12"/>
  <c r="W16" i="5"/>
  <c r="H16" i="12" s="1"/>
  <c r="AE16" i="5"/>
  <c r="F16" i="5"/>
  <c r="F17" i="5" s="1"/>
  <c r="G16" i="5"/>
  <c r="H16" i="5"/>
  <c r="K177" i="12"/>
  <c r="A16" i="12"/>
  <c r="B16" i="6"/>
  <c r="A16" i="6" s="1"/>
  <c r="T182" i="5"/>
  <c r="B37" i="14"/>
  <c r="C14" i="14"/>
  <c r="O7" i="13"/>
  <c r="T172" i="6"/>
  <c r="P125" i="4"/>
  <c r="H128" i="8"/>
  <c r="I173" i="6"/>
  <c r="I171" i="6"/>
  <c r="AX12" i="6"/>
  <c r="AC13" i="6"/>
  <c r="AN13" i="6"/>
  <c r="B14" i="5"/>
  <c r="F14" i="5"/>
  <c r="I80" i="4"/>
  <c r="G15" i="9"/>
  <c r="M15" i="6"/>
  <c r="L35" i="13"/>
  <c r="F14" i="7"/>
  <c r="F15" i="7"/>
  <c r="A15" i="10" s="1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C30" i="4"/>
  <c r="A31" i="4"/>
  <c r="C31" i="4" s="1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128" i="8"/>
  <c r="Z129" i="8"/>
  <c r="Z127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178" i="12"/>
  <c r="B51" i="10"/>
  <c r="F172" i="6"/>
  <c r="O181" i="5"/>
  <c r="D36" i="11"/>
  <c r="M8" i="12"/>
  <c r="AO7" i="12"/>
  <c r="AY12" i="6"/>
  <c r="W50" i="10"/>
  <c r="A4" i="4"/>
  <c r="K51" i="4"/>
  <c r="K178" i="12"/>
  <c r="S70" i="4"/>
  <c r="G5" i="5" s="1"/>
  <c r="W8" i="5" s="1"/>
  <c r="K91" i="4"/>
  <c r="T171" i="6"/>
  <c r="K90" i="4"/>
  <c r="T181" i="5"/>
  <c r="AH69" i="5" l="1"/>
  <c r="AH67" i="5"/>
  <c r="AH68" i="5"/>
  <c r="AH21" i="5"/>
  <c r="AH156" i="5"/>
  <c r="AN156" i="5" s="1"/>
  <c r="AH60" i="5"/>
  <c r="AH162" i="5"/>
  <c r="AH158" i="5"/>
  <c r="AH159" i="5"/>
  <c r="AH157" i="5"/>
  <c r="AH154" i="5"/>
  <c r="AH153" i="5"/>
  <c r="AH155" i="5"/>
  <c r="AH116" i="5"/>
  <c r="AN116" i="5" s="1"/>
  <c r="AH24" i="5"/>
  <c r="AH22" i="5"/>
  <c r="AH20" i="5"/>
  <c r="AH18" i="5"/>
  <c r="AH19" i="5"/>
  <c r="AH17" i="5"/>
  <c r="AN17" i="5" s="1"/>
  <c r="D17" i="6"/>
  <c r="E17" i="12"/>
  <c r="F17" i="6"/>
  <c r="A18" i="12"/>
  <c r="B18" i="6"/>
  <c r="C19" i="5"/>
  <c r="AE18" i="5"/>
  <c r="N18" i="5"/>
  <c r="AD18" i="5"/>
  <c r="H18" i="5"/>
  <c r="D18" i="5"/>
  <c r="B18" i="12" s="1"/>
  <c r="K18" i="5"/>
  <c r="G18" i="5"/>
  <c r="B18" i="5"/>
  <c r="F18" i="5"/>
  <c r="J18" i="5"/>
  <c r="AH150" i="5"/>
  <c r="AN150" i="5" s="1"/>
  <c r="AH122" i="5"/>
  <c r="AN122" i="5" s="1"/>
  <c r="AH145" i="5"/>
  <c r="AN145" i="5" s="1"/>
  <c r="AH79" i="5"/>
  <c r="AH77" i="5"/>
  <c r="AH78" i="5"/>
  <c r="AH58" i="5"/>
  <c r="AN58" i="5" s="1"/>
  <c r="AH80" i="5"/>
  <c r="AN80" i="5" s="1"/>
  <c r="AH38" i="5"/>
  <c r="AH50" i="5"/>
  <c r="AN50" i="5" s="1"/>
  <c r="AH28" i="5"/>
  <c r="AN28" i="5" s="1"/>
  <c r="AH37" i="5"/>
  <c r="AH35" i="5"/>
  <c r="AH39" i="5"/>
  <c r="AH36" i="5"/>
  <c r="AH34" i="5"/>
  <c r="AH40" i="5"/>
  <c r="AH49" i="5"/>
  <c r="AH48" i="5"/>
  <c r="AH47" i="5"/>
  <c r="AH46" i="5"/>
  <c r="AH45" i="5"/>
  <c r="AH44" i="5"/>
  <c r="AH43" i="5"/>
  <c r="AH42" i="5"/>
  <c r="AH41" i="5"/>
  <c r="AH33" i="5"/>
  <c r="AH99" i="5"/>
  <c r="AH141" i="5"/>
  <c r="AH140" i="5"/>
  <c r="AH61" i="5"/>
  <c r="AH102" i="5"/>
  <c r="AH139" i="5"/>
  <c r="AH64" i="5"/>
  <c r="AH160" i="5"/>
  <c r="AH151" i="5"/>
  <c r="AH161" i="5"/>
  <c r="AH152" i="5"/>
  <c r="AH91" i="5"/>
  <c r="AH88" i="5"/>
  <c r="AH71" i="5"/>
  <c r="AH83" i="5"/>
  <c r="AH81" i="5"/>
  <c r="AH82" i="5"/>
  <c r="AH144" i="5"/>
  <c r="AH76" i="5"/>
  <c r="AH74" i="5"/>
  <c r="AH75" i="5"/>
  <c r="AH92" i="5"/>
  <c r="AH94" i="5"/>
  <c r="AH97" i="5"/>
  <c r="AH118" i="5"/>
  <c r="AH143" i="5"/>
  <c r="AH142" i="5"/>
  <c r="AH66" i="5"/>
  <c r="AH134" i="5"/>
  <c r="AH138" i="5"/>
  <c r="AH115" i="5"/>
  <c r="AH110" i="5"/>
  <c r="AH108" i="5"/>
  <c r="AH106" i="5"/>
  <c r="AH104" i="5"/>
  <c r="AH109" i="5"/>
  <c r="AH105" i="5"/>
  <c r="AH107" i="5"/>
  <c r="AH111" i="5"/>
  <c r="AH113" i="5"/>
  <c r="AH114" i="5"/>
  <c r="AH112" i="5"/>
  <c r="AH103" i="5"/>
  <c r="AH100" i="5"/>
  <c r="AH98" i="5"/>
  <c r="AH101" i="5"/>
  <c r="AH86" i="5"/>
  <c r="AH87" i="5"/>
  <c r="AH59" i="5"/>
  <c r="AH136" i="5"/>
  <c r="AH135" i="5"/>
  <c r="AH132" i="5"/>
  <c r="AH137" i="5"/>
  <c r="AH133" i="5"/>
  <c r="AH57" i="5"/>
  <c r="AH55" i="5"/>
  <c r="AH56" i="5"/>
  <c r="AH30" i="5"/>
  <c r="AH31" i="5"/>
  <c r="AH32" i="5"/>
  <c r="AH26" i="5"/>
  <c r="AH163" i="5"/>
  <c r="AH148" i="5"/>
  <c r="AH146" i="5"/>
  <c r="AH129" i="5"/>
  <c r="AH127" i="5"/>
  <c r="AH164" i="5"/>
  <c r="AH128" i="5"/>
  <c r="AH149" i="5"/>
  <c r="AH147" i="5"/>
  <c r="AH130" i="5"/>
  <c r="AH131" i="5"/>
  <c r="AH125" i="5"/>
  <c r="AH65" i="5"/>
  <c r="AH126" i="5"/>
  <c r="A23" i="8"/>
  <c r="AH23" i="5"/>
  <c r="AH25" i="5"/>
  <c r="AH120" i="5"/>
  <c r="AH121" i="5"/>
  <c r="AH62" i="5"/>
  <c r="AN62" i="5" s="1"/>
  <c r="AH54" i="5"/>
  <c r="AH63" i="5"/>
  <c r="E16" i="5"/>
  <c r="F16" i="6"/>
  <c r="B42" i="14"/>
  <c r="B17" i="7"/>
  <c r="C18" i="7"/>
  <c r="B22" i="9"/>
  <c r="B20" i="10"/>
  <c r="AD16" i="5"/>
  <c r="AD17" i="5" s="1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95" i="5"/>
  <c r="AH93" i="5"/>
  <c r="AH90" i="5"/>
  <c r="AH85" i="5"/>
  <c r="AH84" i="5"/>
  <c r="AH73" i="5"/>
  <c r="AH53" i="5"/>
  <c r="AH51" i="5"/>
  <c r="AH124" i="5"/>
  <c r="AH89" i="5"/>
  <c r="AH119" i="5"/>
  <c r="AH52" i="5"/>
  <c r="AH123" i="5"/>
  <c r="AH70" i="5"/>
  <c r="AH117" i="5"/>
  <c r="AH96" i="5"/>
  <c r="AH16" i="5"/>
  <c r="AN16" i="5" s="1"/>
  <c r="AH72" i="5"/>
  <c r="AH27" i="5"/>
  <c r="AH29" i="5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E17" i="5" l="1"/>
  <c r="E18" i="5" s="1"/>
  <c r="E19" i="5" s="1"/>
  <c r="D18" i="6"/>
  <c r="L18" i="12"/>
  <c r="J18" i="12"/>
  <c r="BF17" i="6"/>
  <c r="BB17" i="6"/>
  <c r="AX17" i="6"/>
  <c r="AS17" i="6"/>
  <c r="AO17" i="6"/>
  <c r="G17" i="6"/>
  <c r="BE17" i="6"/>
  <c r="BA17" i="6"/>
  <c r="AV17" i="6"/>
  <c r="AR17" i="6"/>
  <c r="AN17" i="6"/>
  <c r="N17" i="6"/>
  <c r="BD17" i="6"/>
  <c r="AZ17" i="6"/>
  <c r="AU17" i="6"/>
  <c r="AQ17" i="6"/>
  <c r="AM17" i="6"/>
  <c r="M17" i="6"/>
  <c r="BC17" i="6"/>
  <c r="BG17" i="6"/>
  <c r="AP17" i="6"/>
  <c r="AY17" i="6"/>
  <c r="AT17" i="6"/>
  <c r="H17" i="6"/>
  <c r="T17" i="5" s="1"/>
  <c r="G17" i="12" s="1"/>
  <c r="A19" i="12"/>
  <c r="B19" i="6"/>
  <c r="K19" i="5"/>
  <c r="G19" i="5"/>
  <c r="J19" i="5"/>
  <c r="F19" i="5"/>
  <c r="B19" i="5"/>
  <c r="C20" i="5"/>
  <c r="AE19" i="5"/>
  <c r="N19" i="5"/>
  <c r="D19" i="5"/>
  <c r="B19" i="12" s="1"/>
  <c r="AD19" i="5"/>
  <c r="H19" i="5"/>
  <c r="A26" i="8"/>
  <c r="F23" i="6"/>
  <c r="E23" i="12"/>
  <c r="A14" i="13"/>
  <c r="B14" i="11"/>
  <c r="G14" i="11" s="1"/>
  <c r="F14" i="13" s="1"/>
  <c r="C19" i="7"/>
  <c r="B18" i="7"/>
  <c r="B21" i="10"/>
  <c r="B23" i="9"/>
  <c r="AC16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C21" i="5" l="1"/>
  <c r="K18" i="12"/>
  <c r="AB17" i="6"/>
  <c r="AC17" i="6"/>
  <c r="AD17" i="6"/>
  <c r="H18" i="6"/>
  <c r="T18" i="5" s="1"/>
  <c r="G18" i="12" s="1"/>
  <c r="A20" i="12"/>
  <c r="B20" i="6"/>
  <c r="AE20" i="5"/>
  <c r="N20" i="5"/>
  <c r="E20" i="5"/>
  <c r="AD20" i="5"/>
  <c r="H20" i="5"/>
  <c r="D20" i="5"/>
  <c r="B20" i="12" s="1"/>
  <c r="K20" i="5"/>
  <c r="G20" i="5"/>
  <c r="B20" i="5"/>
  <c r="J20" i="5"/>
  <c r="F20" i="5"/>
  <c r="J19" i="12"/>
  <c r="L19" i="12"/>
  <c r="D19" i="6"/>
  <c r="A18" i="6"/>
  <c r="A29" i="8"/>
  <c r="C14" i="13"/>
  <c r="K14" i="13" s="1"/>
  <c r="K14" i="11"/>
  <c r="J14" i="13" s="1"/>
  <c r="B22" i="10"/>
  <c r="B24" i="9"/>
  <c r="C20" i="7"/>
  <c r="B19" i="7"/>
  <c r="AD3" i="6"/>
  <c r="AB3" i="6"/>
  <c r="AQ13" i="6"/>
  <c r="L12" i="9"/>
  <c r="K11" i="9"/>
  <c r="M14" i="6"/>
  <c r="AX14" i="6" s="1"/>
  <c r="L12" i="10"/>
  <c r="AF12" i="6"/>
  <c r="AF17" i="6" s="1"/>
  <c r="AG13" i="6"/>
  <c r="A7" i="4"/>
  <c r="C7" i="4" s="1"/>
  <c r="C6" i="4"/>
  <c r="BC12" i="6"/>
  <c r="BD13" i="6"/>
  <c r="B21" i="6" l="1"/>
  <c r="AD21" i="5"/>
  <c r="H21" i="5"/>
  <c r="D21" i="5"/>
  <c r="B21" i="12" s="1"/>
  <c r="A21" i="12"/>
  <c r="K21" i="5"/>
  <c r="G21" i="5"/>
  <c r="AE21" i="5"/>
  <c r="N21" i="5"/>
  <c r="E21" i="5"/>
  <c r="J21" i="5"/>
  <c r="F21" i="5"/>
  <c r="B21" i="5"/>
  <c r="C22" i="5"/>
  <c r="A19" i="6"/>
  <c r="N19" i="6" s="1"/>
  <c r="K19" i="12"/>
  <c r="M18" i="6"/>
  <c r="AB18" i="6" s="1"/>
  <c r="N18" i="6"/>
  <c r="D20" i="6"/>
  <c r="L20" i="12"/>
  <c r="J20" i="12"/>
  <c r="H19" i="6"/>
  <c r="T19" i="5" s="1"/>
  <c r="G19" i="12" s="1"/>
  <c r="A32" i="8"/>
  <c r="C21" i="7"/>
  <c r="B20" i="7"/>
  <c r="B25" i="9"/>
  <c r="B23" i="10"/>
  <c r="AF16" i="6"/>
  <c r="AO14" i="6"/>
  <c r="BD14" i="6"/>
  <c r="AQ12" i="6"/>
  <c r="AR13" i="6"/>
  <c r="AR14" i="6" s="1"/>
  <c r="BE14" i="6"/>
  <c r="AZ14" i="6"/>
  <c r="BC14" i="6"/>
  <c r="BA14" i="6"/>
  <c r="AP14" i="6"/>
  <c r="AQ14" i="6"/>
  <c r="AN14" i="6"/>
  <c r="AM14" i="6"/>
  <c r="AY14" i="6"/>
  <c r="BF14" i="6"/>
  <c r="BG14" i="6"/>
  <c r="L11" i="9"/>
  <c r="M12" i="9"/>
  <c r="BB14" i="6"/>
  <c r="L11" i="10"/>
  <c r="M12" i="10"/>
  <c r="AH13" i="6"/>
  <c r="AG12" i="6"/>
  <c r="BD12" i="6"/>
  <c r="BE13" i="6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Y61" i="4"/>
  <c r="X102" i="4"/>
  <c r="X104" i="4"/>
  <c r="X64" i="4"/>
  <c r="Y105" i="4"/>
  <c r="Y63" i="4"/>
  <c r="Z22" i="4"/>
  <c r="Z101" i="4"/>
  <c r="Z64" i="4"/>
  <c r="X24" i="4"/>
  <c r="Y23" i="4"/>
  <c r="H22" i="5" l="1"/>
  <c r="D22" i="5"/>
  <c r="B22" i="12" s="1"/>
  <c r="J22" i="5"/>
  <c r="A22" i="12"/>
  <c r="N22" i="5"/>
  <c r="D22" i="6" s="1"/>
  <c r="H22" i="6" s="1"/>
  <c r="T22" i="5" s="1"/>
  <c r="G22" i="12" s="1"/>
  <c r="B22" i="6"/>
  <c r="K22" i="5"/>
  <c r="AD22" i="5"/>
  <c r="AE22" i="5"/>
  <c r="B22" i="5"/>
  <c r="G22" i="5"/>
  <c r="J21" i="12"/>
  <c r="L21" i="12"/>
  <c r="E22" i="5"/>
  <c r="D21" i="6"/>
  <c r="F22" i="5"/>
  <c r="U69" i="4"/>
  <c r="J72" i="4" s="1"/>
  <c r="A20" i="6"/>
  <c r="M19" i="6"/>
  <c r="AX19" i="6" s="1"/>
  <c r="AD18" i="6"/>
  <c r="AF18" i="6"/>
  <c r="AC18" i="6"/>
  <c r="BB18" i="6"/>
  <c r="BE18" i="6"/>
  <c r="AN18" i="6"/>
  <c r="BD18" i="6"/>
  <c r="AM18" i="6"/>
  <c r="AX18" i="6"/>
  <c r="BA18" i="6"/>
  <c r="AZ18" i="6"/>
  <c r="AP18" i="6"/>
  <c r="AY18" i="6"/>
  <c r="AO18" i="6"/>
  <c r="AR18" i="6"/>
  <c r="AQ18" i="6"/>
  <c r="BC18" i="6"/>
  <c r="AG17" i="6"/>
  <c r="AG18" i="6"/>
  <c r="H20" i="6"/>
  <c r="T20" i="5" s="1"/>
  <c r="G20" i="12" s="1"/>
  <c r="K20" i="12"/>
  <c r="A35" i="8"/>
  <c r="B24" i="10"/>
  <c r="B26" i="9"/>
  <c r="C22" i="7"/>
  <c r="B21" i="7"/>
  <c r="AG16" i="6"/>
  <c r="U109" i="4"/>
  <c r="K112" i="4" s="1"/>
  <c r="AS13" i="6"/>
  <c r="AS18" i="6" s="1"/>
  <c r="AR12" i="6"/>
  <c r="M11" i="10"/>
  <c r="N12" i="10"/>
  <c r="M11" i="9"/>
  <c r="N12" i="9"/>
  <c r="AH12" i="6"/>
  <c r="AI13" i="6"/>
  <c r="U29" i="4"/>
  <c r="BF13" i="6"/>
  <c r="BE12" i="6"/>
  <c r="A21" i="6" l="1"/>
  <c r="N21" i="6" s="1"/>
  <c r="K21" i="12"/>
  <c r="L22" i="12"/>
  <c r="J22" i="12"/>
  <c r="A22" i="6"/>
  <c r="N22" i="6" s="1"/>
  <c r="H21" i="6"/>
  <c r="T21" i="5" s="1"/>
  <c r="K72" i="4"/>
  <c r="N20" i="6"/>
  <c r="M20" i="6"/>
  <c r="BB20" i="6" s="1"/>
  <c r="AY19" i="6"/>
  <c r="AF19" i="6"/>
  <c r="AD19" i="6"/>
  <c r="AP19" i="6"/>
  <c r="BA19" i="6"/>
  <c r="AG19" i="6"/>
  <c r="AB19" i="6"/>
  <c r="AZ19" i="6"/>
  <c r="AO19" i="6"/>
  <c r="BE19" i="6"/>
  <c r="AR19" i="6"/>
  <c r="BD19" i="6"/>
  <c r="AM19" i="6"/>
  <c r="BB19" i="6"/>
  <c r="BC19" i="6"/>
  <c r="AQ19" i="6"/>
  <c r="AN19" i="6"/>
  <c r="AC19" i="6"/>
  <c r="BF18" i="6"/>
  <c r="AH17" i="6"/>
  <c r="AH18" i="6"/>
  <c r="AH19" i="6"/>
  <c r="BF19" i="6"/>
  <c r="AS19" i="6"/>
  <c r="A38" i="8"/>
  <c r="B27" i="9"/>
  <c r="B22" i="7"/>
  <c r="C23" i="7"/>
  <c r="B25" i="10"/>
  <c r="AH16" i="6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F12" i="6"/>
  <c r="M21" i="6" l="1"/>
  <c r="BE21" i="6" s="1"/>
  <c r="M22" i="6"/>
  <c r="AI22" i="6" s="1"/>
  <c r="G21" i="12"/>
  <c r="K22" i="12"/>
  <c r="BF21" i="6"/>
  <c r="AG20" i="6"/>
  <c r="BA20" i="6"/>
  <c r="AS20" i="6"/>
  <c r="AC20" i="6"/>
  <c r="AP20" i="6"/>
  <c r="AN20" i="6"/>
  <c r="BD20" i="6"/>
  <c r="AR20" i="6"/>
  <c r="AX20" i="6"/>
  <c r="AY20" i="6"/>
  <c r="AZ20" i="6"/>
  <c r="AM20" i="6"/>
  <c r="BE20" i="6"/>
  <c r="AQ20" i="6"/>
  <c r="BF20" i="6"/>
  <c r="AB20" i="6"/>
  <c r="AO20" i="6"/>
  <c r="AH20" i="6"/>
  <c r="AF20" i="6"/>
  <c r="AD20" i="6"/>
  <c r="BC20" i="6"/>
  <c r="BG18" i="6"/>
  <c r="BG20" i="6"/>
  <c r="BG19" i="6"/>
  <c r="AI17" i="6"/>
  <c r="AI18" i="6"/>
  <c r="AI19" i="6"/>
  <c r="AI20" i="6"/>
  <c r="AT19" i="6"/>
  <c r="AT20" i="6"/>
  <c r="AT18" i="6"/>
  <c r="C23" i="5"/>
  <c r="C24" i="5" s="1"/>
  <c r="A41" i="8"/>
  <c r="B26" i="10"/>
  <c r="B23" i="7"/>
  <c r="C24" i="7"/>
  <c r="B28" i="9"/>
  <c r="AI16" i="6"/>
  <c r="AT12" i="6"/>
  <c r="AU13" i="6"/>
  <c r="AT14" i="6"/>
  <c r="P12" i="10"/>
  <c r="O11" i="10"/>
  <c r="O11" i="9"/>
  <c r="P12" i="9"/>
  <c r="AJ12" i="6"/>
  <c r="AK13" i="6"/>
  <c r="AK12" i="6" s="1"/>
  <c r="BG12" i="6"/>
  <c r="AN21" i="6" l="1"/>
  <c r="BD21" i="6"/>
  <c r="BA21" i="6"/>
  <c r="AM21" i="6"/>
  <c r="AT21" i="6"/>
  <c r="AH21" i="6"/>
  <c r="AY21" i="6"/>
  <c r="AC21" i="6"/>
  <c r="AZ21" i="6"/>
  <c r="AX21" i="6"/>
  <c r="AO21" i="6"/>
  <c r="BB21" i="6"/>
  <c r="AF21" i="6"/>
  <c r="AS21" i="6"/>
  <c r="AB21" i="6"/>
  <c r="AX22" i="6"/>
  <c r="BG21" i="6"/>
  <c r="AR21" i="6"/>
  <c r="BC21" i="6"/>
  <c r="AG21" i="6"/>
  <c r="AZ22" i="6"/>
  <c r="AP21" i="6"/>
  <c r="AD21" i="6"/>
  <c r="AQ21" i="6"/>
  <c r="AI21" i="6"/>
  <c r="AG22" i="6"/>
  <c r="BF22" i="6"/>
  <c r="AS22" i="6"/>
  <c r="BE22" i="6"/>
  <c r="AH22" i="6"/>
  <c r="AD22" i="6"/>
  <c r="AQ22" i="6"/>
  <c r="AP22" i="6"/>
  <c r="BA22" i="6"/>
  <c r="AM22" i="6"/>
  <c r="AJ22" i="6"/>
  <c r="AJ21" i="6"/>
  <c r="AU22" i="6"/>
  <c r="AF22" i="6"/>
  <c r="AB22" i="6"/>
  <c r="AR22" i="6"/>
  <c r="BG22" i="6"/>
  <c r="AT22" i="6"/>
  <c r="BD22" i="6"/>
  <c r="AK22" i="6"/>
  <c r="AK21" i="6"/>
  <c r="AC22" i="6"/>
  <c r="AY22" i="6"/>
  <c r="BC22" i="6"/>
  <c r="BB22" i="6"/>
  <c r="AO22" i="6"/>
  <c r="AN22" i="6"/>
  <c r="AU21" i="6"/>
  <c r="B24" i="6"/>
  <c r="AD24" i="5"/>
  <c r="D24" i="5"/>
  <c r="B24" i="12" s="1"/>
  <c r="A24" i="12"/>
  <c r="K24" i="5"/>
  <c r="J24" i="5"/>
  <c r="N24" i="5"/>
  <c r="AE24" i="5"/>
  <c r="C25" i="5"/>
  <c r="B23" i="6"/>
  <c r="A23" i="6" s="1"/>
  <c r="W23" i="5"/>
  <c r="H23" i="12" s="1"/>
  <c r="N23" i="5"/>
  <c r="D23" i="6" s="1"/>
  <c r="H23" i="5"/>
  <c r="H24" i="5" s="1"/>
  <c r="F23" i="5"/>
  <c r="F24" i="5" s="1"/>
  <c r="I23" i="5"/>
  <c r="A23" i="12"/>
  <c r="B23" i="5"/>
  <c r="B24" i="5" s="1"/>
  <c r="G23" i="5"/>
  <c r="G24" i="5" s="1"/>
  <c r="AE23" i="5"/>
  <c r="E23" i="5"/>
  <c r="E24" i="5" s="1"/>
  <c r="AD23" i="5"/>
  <c r="AU20" i="6"/>
  <c r="AU18" i="6"/>
  <c r="AU19" i="6"/>
  <c r="AJ17" i="6"/>
  <c r="AJ18" i="6"/>
  <c r="AJ19" i="6"/>
  <c r="AJ20" i="6"/>
  <c r="AK17" i="6"/>
  <c r="AK18" i="6"/>
  <c r="AK19" i="6"/>
  <c r="AK20" i="6"/>
  <c r="A44" i="8"/>
  <c r="C25" i="7"/>
  <c r="B24" i="7"/>
  <c r="B27" i="10"/>
  <c r="B29" i="9"/>
  <c r="AK16" i="6"/>
  <c r="AJ16" i="6"/>
  <c r="AU12" i="6"/>
  <c r="AV13" i="6"/>
  <c r="AU14" i="6"/>
  <c r="Q12" i="9"/>
  <c r="P11" i="9"/>
  <c r="Q12" i="10"/>
  <c r="P11" i="10"/>
  <c r="AV22" i="6" l="1"/>
  <c r="AV21" i="6"/>
  <c r="D24" i="6"/>
  <c r="A24" i="6" s="1"/>
  <c r="J24" i="12"/>
  <c r="L24" i="12"/>
  <c r="B25" i="5"/>
  <c r="E25" i="5"/>
  <c r="H25" i="5"/>
  <c r="G25" i="5"/>
  <c r="F25" i="5"/>
  <c r="C26" i="5"/>
  <c r="B25" i="6"/>
  <c r="K25" i="5"/>
  <c r="AD25" i="5"/>
  <c r="J25" i="5"/>
  <c r="D25" i="5"/>
  <c r="B25" i="12" s="1"/>
  <c r="AE25" i="5"/>
  <c r="A25" i="12"/>
  <c r="N25" i="5"/>
  <c r="D25" i="6" s="1"/>
  <c r="AV18" i="6"/>
  <c r="AV20" i="6"/>
  <c r="AV19" i="6"/>
  <c r="AR23" i="6"/>
  <c r="AZ23" i="6"/>
  <c r="M23" i="6"/>
  <c r="AT23" i="6"/>
  <c r="BB23" i="6"/>
  <c r="G23" i="6"/>
  <c r="BE23" i="6"/>
  <c r="AN23" i="6"/>
  <c r="AU23" i="6"/>
  <c r="BG23" i="6"/>
  <c r="AP23" i="6"/>
  <c r="AX23" i="6"/>
  <c r="BA23" i="6"/>
  <c r="AQ23" i="6"/>
  <c r="H23" i="6"/>
  <c r="BC23" i="6"/>
  <c r="AV23" i="6"/>
  <c r="BD23" i="6"/>
  <c r="AM23" i="6"/>
  <c r="AY23" i="6"/>
  <c r="BF23" i="6"/>
  <c r="AO23" i="6"/>
  <c r="N23" i="6"/>
  <c r="AS23" i="6"/>
  <c r="A47" i="8"/>
  <c r="B30" i="9"/>
  <c r="B28" i="10"/>
  <c r="C26" i="7"/>
  <c r="B25" i="7"/>
  <c r="AV12" i="6"/>
  <c r="AV14" i="6"/>
  <c r="Q11" i="10"/>
  <c r="R12" i="10"/>
  <c r="R12" i="9"/>
  <c r="Q11" i="9"/>
  <c r="K24" i="12" l="1"/>
  <c r="N24" i="6"/>
  <c r="M24" i="6"/>
  <c r="BE24" i="6" s="1"/>
  <c r="H24" i="6"/>
  <c r="T24" i="5" s="1"/>
  <c r="G24" i="12" s="1"/>
  <c r="AF23" i="6"/>
  <c r="AD23" i="6"/>
  <c r="AI23" i="6"/>
  <c r="AC23" i="6"/>
  <c r="AH23" i="6"/>
  <c r="AB23" i="6"/>
  <c r="AG23" i="6"/>
  <c r="A25" i="6"/>
  <c r="N25" i="6" s="1"/>
  <c r="H25" i="6"/>
  <c r="T25" i="5" s="1"/>
  <c r="G25" i="12" s="1"/>
  <c r="A26" i="12"/>
  <c r="N26" i="5"/>
  <c r="D26" i="6" s="1"/>
  <c r="B26" i="6"/>
  <c r="K26" i="5"/>
  <c r="AD26" i="5"/>
  <c r="J26" i="5"/>
  <c r="D26" i="5"/>
  <c r="B26" i="12" s="1"/>
  <c r="AE26" i="5"/>
  <c r="G26" i="5"/>
  <c r="E26" i="5"/>
  <c r="L25" i="12"/>
  <c r="J25" i="12"/>
  <c r="H26" i="5"/>
  <c r="T23" i="5"/>
  <c r="G23" i="12" s="1"/>
  <c r="AK23" i="6"/>
  <c r="AJ23" i="6"/>
  <c r="B26" i="5"/>
  <c r="F26" i="5"/>
  <c r="A50" i="8"/>
  <c r="B29" i="10"/>
  <c r="C27" i="7"/>
  <c r="B26" i="7"/>
  <c r="B31" i="9"/>
  <c r="R11" i="9"/>
  <c r="S12" i="9"/>
  <c r="R11" i="10"/>
  <c r="S12" i="10"/>
  <c r="AR24" i="6" l="1"/>
  <c r="AB24" i="6"/>
  <c r="AX24" i="6"/>
  <c r="AG24" i="6"/>
  <c r="AY24" i="6"/>
  <c r="AD24" i="6"/>
  <c r="AU24" i="6"/>
  <c r="AV24" i="6"/>
  <c r="AC24" i="6"/>
  <c r="AF24" i="6"/>
  <c r="BF24" i="6"/>
  <c r="AK24" i="6"/>
  <c r="BC24" i="6"/>
  <c r="AH24" i="6"/>
  <c r="AZ24" i="6"/>
  <c r="AI24" i="6"/>
  <c r="BA24" i="6"/>
  <c r="BB24" i="6"/>
  <c r="AS24" i="6"/>
  <c r="AT24" i="6"/>
  <c r="AQ24" i="6"/>
  <c r="AJ24" i="6"/>
  <c r="AO24" i="6"/>
  <c r="AP24" i="6"/>
  <c r="BG24" i="6"/>
  <c r="AM24" i="6"/>
  <c r="BD24" i="6"/>
  <c r="AN24" i="6"/>
  <c r="M25" i="6"/>
  <c r="BD25" i="6" s="1"/>
  <c r="H26" i="6"/>
  <c r="T26" i="5" s="1"/>
  <c r="G26" i="12" s="1"/>
  <c r="K25" i="12"/>
  <c r="J26" i="12"/>
  <c r="L26" i="12"/>
  <c r="A26" i="6"/>
  <c r="A53" i="8"/>
  <c r="B30" i="10"/>
  <c r="B32" i="9"/>
  <c r="C28" i="7"/>
  <c r="B27" i="7"/>
  <c r="T12" i="10"/>
  <c r="S11" i="10"/>
  <c r="S11" i="9"/>
  <c r="T12" i="9"/>
  <c r="AF25" i="6" l="1"/>
  <c r="AR25" i="6"/>
  <c r="BF25" i="6"/>
  <c r="AI25" i="6"/>
  <c r="AV25" i="6"/>
  <c r="BB25" i="6"/>
  <c r="AY25" i="6"/>
  <c r="AD25" i="6"/>
  <c r="BC25" i="6"/>
  <c r="AB25" i="6"/>
  <c r="AO25" i="6"/>
  <c r="AC25" i="6"/>
  <c r="AS25" i="6"/>
  <c r="AX25" i="6"/>
  <c r="AG25" i="6"/>
  <c r="AM25" i="6"/>
  <c r="BA25" i="6"/>
  <c r="AZ25" i="6"/>
  <c r="BE25" i="6"/>
  <c r="AH25" i="6"/>
  <c r="AQ25" i="6"/>
  <c r="AJ25" i="6"/>
  <c r="AT25" i="6"/>
  <c r="BG25" i="6"/>
  <c r="AN25" i="6"/>
  <c r="AP25" i="6"/>
  <c r="AK25" i="6"/>
  <c r="AU25" i="6"/>
  <c r="K26" i="12"/>
  <c r="N26" i="6"/>
  <c r="M26" i="6"/>
  <c r="A56" i="8"/>
  <c r="A59" i="8" s="1"/>
  <c r="B33" i="9"/>
  <c r="C29" i="7"/>
  <c r="B28" i="7"/>
  <c r="B31" i="10"/>
  <c r="U12" i="10"/>
  <c r="T11" i="10"/>
  <c r="T11" i="9"/>
  <c r="U12" i="9"/>
  <c r="AO26" i="6" l="1"/>
  <c r="AN26" i="6"/>
  <c r="AF26" i="6"/>
  <c r="AB26" i="6"/>
  <c r="AM26" i="6"/>
  <c r="AY26" i="6"/>
  <c r="AK26" i="6"/>
  <c r="AP26" i="6"/>
  <c r="AS26" i="6"/>
  <c r="AQ26" i="6"/>
  <c r="BF26" i="6"/>
  <c r="BA26" i="6"/>
  <c r="AU26" i="6"/>
  <c r="AX26" i="6"/>
  <c r="BC26" i="6"/>
  <c r="AZ26" i="6"/>
  <c r="AR26" i="6"/>
  <c r="BG26" i="6"/>
  <c r="BB26" i="6"/>
  <c r="BD26" i="6"/>
  <c r="BE26" i="6"/>
  <c r="AT26" i="6"/>
  <c r="AV26" i="6"/>
  <c r="AI26" i="6"/>
  <c r="AC26" i="6"/>
  <c r="AJ26" i="6"/>
  <c r="AG26" i="6"/>
  <c r="AD26" i="6"/>
  <c r="AH26" i="6"/>
  <c r="A62" i="8"/>
  <c r="B34" i="9"/>
  <c r="B32" i="10"/>
  <c r="B29" i="7"/>
  <c r="C30" i="7"/>
  <c r="V12" i="10"/>
  <c r="U11" i="10"/>
  <c r="V12" i="9"/>
  <c r="U11" i="9"/>
  <c r="A65" i="8" l="1"/>
  <c r="C27" i="5"/>
  <c r="C28" i="5" s="1"/>
  <c r="B33" i="10"/>
  <c r="B35" i="9"/>
  <c r="B30" i="7"/>
  <c r="C31" i="7"/>
  <c r="W12" i="9"/>
  <c r="V11" i="9"/>
  <c r="W12" i="10"/>
  <c r="V11" i="10"/>
  <c r="B28" i="6" l="1"/>
  <c r="A28" i="12"/>
  <c r="G28" i="5"/>
  <c r="W28" i="5"/>
  <c r="H28" i="12" s="1"/>
  <c r="AE28" i="5"/>
  <c r="N28" i="5"/>
  <c r="A68" i="8"/>
  <c r="B27" i="5"/>
  <c r="B28" i="5" s="1"/>
  <c r="G27" i="5"/>
  <c r="AE27" i="5"/>
  <c r="A27" i="12"/>
  <c r="C29" i="5"/>
  <c r="E27" i="5"/>
  <c r="E28" i="5" s="1"/>
  <c r="AD27" i="5"/>
  <c r="AD28" i="5" s="1"/>
  <c r="B27" i="6"/>
  <c r="A27" i="6" s="1"/>
  <c r="F27" i="5"/>
  <c r="H27" i="5"/>
  <c r="H28" i="5" s="1"/>
  <c r="N27" i="5"/>
  <c r="D27" i="6" s="1"/>
  <c r="C32" i="7"/>
  <c r="B31" i="7"/>
  <c r="B36" i="9"/>
  <c r="B34" i="10"/>
  <c r="W11" i="10"/>
  <c r="X12" i="10"/>
  <c r="W11" i="9"/>
  <c r="X12" i="9"/>
  <c r="F28" i="5" l="1"/>
  <c r="F29" i="5" s="1"/>
  <c r="D28" i="6"/>
  <c r="A28" i="6"/>
  <c r="A71" i="8"/>
  <c r="H29" i="5"/>
  <c r="K29" i="5"/>
  <c r="E29" i="5"/>
  <c r="N29" i="5"/>
  <c r="D29" i="6" s="1"/>
  <c r="H29" i="6" s="1"/>
  <c r="T29" i="5" s="1"/>
  <c r="G29" i="12" s="1"/>
  <c r="J29" i="5"/>
  <c r="B29" i="6"/>
  <c r="AD29" i="5"/>
  <c r="D29" i="5"/>
  <c r="B29" i="12" s="1"/>
  <c r="G29" i="5"/>
  <c r="AE29" i="5"/>
  <c r="B29" i="5"/>
  <c r="A29" i="12"/>
  <c r="H27" i="6"/>
  <c r="AX27" i="6"/>
  <c r="AY27" i="6"/>
  <c r="M27" i="6"/>
  <c r="BD27" i="6"/>
  <c r="AZ27" i="6"/>
  <c r="AO27" i="6"/>
  <c r="BE27" i="6"/>
  <c r="AQ27" i="6"/>
  <c r="BC27" i="6"/>
  <c r="BB27" i="6"/>
  <c r="AS27" i="6"/>
  <c r="AV27" i="6"/>
  <c r="BF27" i="6"/>
  <c r="BG27" i="6"/>
  <c r="AM27" i="6"/>
  <c r="AU27" i="6"/>
  <c r="AT27" i="6"/>
  <c r="BA27" i="6"/>
  <c r="N27" i="6"/>
  <c r="AP27" i="6"/>
  <c r="AR27" i="6"/>
  <c r="AN27" i="6"/>
  <c r="B37" i="9"/>
  <c r="B35" i="10"/>
  <c r="B32" i="7"/>
  <c r="C33" i="7"/>
  <c r="X11" i="9"/>
  <c r="Y12" i="9"/>
  <c r="Y12" i="10"/>
  <c r="X11" i="10"/>
  <c r="M28" i="6" l="1"/>
  <c r="BE28" i="6" s="1"/>
  <c r="H28" i="6"/>
  <c r="T28" i="5" s="1"/>
  <c r="G28" i="12" s="1"/>
  <c r="A74" i="8"/>
  <c r="A77" i="8" s="1"/>
  <c r="AJ27" i="6"/>
  <c r="AB27" i="6"/>
  <c r="AF27" i="6"/>
  <c r="T27" i="5"/>
  <c r="G27" i="12" s="1"/>
  <c r="AC27" i="6"/>
  <c r="AD27" i="6"/>
  <c r="AG27" i="6"/>
  <c r="AK27" i="6"/>
  <c r="A29" i="6"/>
  <c r="AH27" i="6"/>
  <c r="C30" i="5"/>
  <c r="AI27" i="6"/>
  <c r="J29" i="12"/>
  <c r="L29" i="12"/>
  <c r="B36" i="10"/>
  <c r="C34" i="7"/>
  <c r="B33" i="7"/>
  <c r="Y11" i="10"/>
  <c r="Z12" i="10"/>
  <c r="Y11" i="9"/>
  <c r="Z12" i="9"/>
  <c r="A80" i="8" l="1"/>
  <c r="M29" i="6"/>
  <c r="AJ29" i="6" s="1"/>
  <c r="AQ28" i="6"/>
  <c r="AR28" i="6"/>
  <c r="AF28" i="6"/>
  <c r="AX28" i="6"/>
  <c r="AC28" i="6"/>
  <c r="AT28" i="6"/>
  <c r="AJ28" i="6"/>
  <c r="BB28" i="6"/>
  <c r="AG28" i="6"/>
  <c r="AY28" i="6"/>
  <c r="AD28" i="6"/>
  <c r="AU28" i="6"/>
  <c r="AV28" i="6"/>
  <c r="AO28" i="6"/>
  <c r="BF28" i="6"/>
  <c r="AK28" i="6"/>
  <c r="BC28" i="6"/>
  <c r="AH28" i="6"/>
  <c r="AZ28" i="6"/>
  <c r="AI28" i="6"/>
  <c r="BA28" i="6"/>
  <c r="AB28" i="6"/>
  <c r="AS28" i="6"/>
  <c r="AP28" i="6"/>
  <c r="BG28" i="6"/>
  <c r="AM28" i="6"/>
  <c r="BD28" i="6"/>
  <c r="AN28" i="6"/>
  <c r="K29" i="12"/>
  <c r="F30" i="5"/>
  <c r="B30" i="5"/>
  <c r="K30" i="5"/>
  <c r="B30" i="6"/>
  <c r="AE30" i="5"/>
  <c r="G30" i="5"/>
  <c r="A30" i="12"/>
  <c r="C31" i="5"/>
  <c r="E30" i="5"/>
  <c r="D30" i="5"/>
  <c r="B30" i="12" s="1"/>
  <c r="H30" i="5"/>
  <c r="AD30" i="5"/>
  <c r="J30" i="5"/>
  <c r="N30" i="5"/>
  <c r="D30" i="6" s="1"/>
  <c r="H30" i="6" s="1"/>
  <c r="T30" i="5" s="1"/>
  <c r="G30" i="12" s="1"/>
  <c r="C35" i="7"/>
  <c r="B34" i="7"/>
  <c r="B37" i="10"/>
  <c r="Z11" i="10"/>
  <c r="AA12" i="10"/>
  <c r="Z11" i="9"/>
  <c r="AA12" i="9"/>
  <c r="A83" i="8" l="1"/>
  <c r="AF29" i="6"/>
  <c r="AB29" i="6"/>
  <c r="BC29" i="6"/>
  <c r="BG29" i="6"/>
  <c r="AT29" i="6"/>
  <c r="AY29" i="6"/>
  <c r="AD29" i="6"/>
  <c r="AP29" i="6"/>
  <c r="AK29" i="6"/>
  <c r="AC29" i="6"/>
  <c r="AS29" i="6"/>
  <c r="AM29" i="6"/>
  <c r="BE29" i="6"/>
  <c r="BF29" i="6"/>
  <c r="AU29" i="6"/>
  <c r="AV29" i="6"/>
  <c r="AI29" i="6"/>
  <c r="BD29" i="6"/>
  <c r="AH29" i="6"/>
  <c r="BA29" i="6"/>
  <c r="AQ29" i="6"/>
  <c r="BB29" i="6"/>
  <c r="AZ29" i="6"/>
  <c r="AN29" i="6"/>
  <c r="AO29" i="6"/>
  <c r="AG29" i="6"/>
  <c r="AX29" i="6"/>
  <c r="AR29" i="6"/>
  <c r="A30" i="6"/>
  <c r="M30" i="6" s="1"/>
  <c r="AS30" i="6" s="1"/>
  <c r="N31" i="5"/>
  <c r="D31" i="6" s="1"/>
  <c r="H31" i="6" s="1"/>
  <c r="T31" i="5" s="1"/>
  <c r="G31" i="12" s="1"/>
  <c r="K31" i="5"/>
  <c r="J31" i="5"/>
  <c r="B31" i="5"/>
  <c r="E31" i="5"/>
  <c r="AD31" i="5"/>
  <c r="B31" i="6"/>
  <c r="F31" i="5"/>
  <c r="G31" i="5"/>
  <c r="A31" i="12"/>
  <c r="AE31" i="5"/>
  <c r="H31" i="5"/>
  <c r="D31" i="5"/>
  <c r="B31" i="12" s="1"/>
  <c r="J30" i="12"/>
  <c r="L30" i="12"/>
  <c r="B35" i="7"/>
  <c r="C36" i="7"/>
  <c r="AB12" i="10"/>
  <c r="AA11" i="10"/>
  <c r="AB12" i="9"/>
  <c r="AA11" i="9"/>
  <c r="A86" i="8" l="1"/>
  <c r="AT30" i="6"/>
  <c r="AJ30" i="6"/>
  <c r="BD30" i="6"/>
  <c r="AY30" i="6"/>
  <c r="BC30" i="6"/>
  <c r="AC30" i="6"/>
  <c r="AF30" i="6"/>
  <c r="BE30" i="6"/>
  <c r="K30" i="12"/>
  <c r="AD30" i="6"/>
  <c r="AN30" i="6"/>
  <c r="AH30" i="6"/>
  <c r="BA30" i="6"/>
  <c r="AI30" i="6"/>
  <c r="AK30" i="6"/>
  <c r="AB30" i="6"/>
  <c r="BF30" i="6"/>
  <c r="BG30" i="6"/>
  <c r="AQ30" i="6"/>
  <c r="AZ30" i="6"/>
  <c r="AM30" i="6"/>
  <c r="AU30" i="6"/>
  <c r="AG30" i="6"/>
  <c r="AO30" i="6"/>
  <c r="AX30" i="6"/>
  <c r="AP30" i="6"/>
  <c r="BB30" i="6"/>
  <c r="AR30" i="6"/>
  <c r="A31" i="6"/>
  <c r="M31" i="6" s="1"/>
  <c r="AV30" i="6"/>
  <c r="C32" i="5"/>
  <c r="L31" i="12"/>
  <c r="J31" i="12"/>
  <c r="B36" i="7"/>
  <c r="C37" i="7"/>
  <c r="AB11" i="10"/>
  <c r="AC12" i="10"/>
  <c r="AC12" i="9"/>
  <c r="AB11" i="9"/>
  <c r="A89" i="8" l="1"/>
  <c r="BA31" i="6"/>
  <c r="AH31" i="6"/>
  <c r="BE31" i="6"/>
  <c r="AZ31" i="6"/>
  <c r="AX31" i="6"/>
  <c r="AU31" i="6"/>
  <c r="AD31" i="6"/>
  <c r="AG31" i="6"/>
  <c r="AJ31" i="6"/>
  <c r="BG31" i="6"/>
  <c r="BF31" i="6"/>
  <c r="AV31" i="6"/>
  <c r="AK31" i="6"/>
  <c r="AS31" i="6"/>
  <c r="AQ31" i="6"/>
  <c r="AT31" i="6"/>
  <c r="BB31" i="6"/>
  <c r="AR31" i="6"/>
  <c r="AP31" i="6"/>
  <c r="AI31" i="6"/>
  <c r="AB31" i="6"/>
  <c r="AO31" i="6"/>
  <c r="BC31" i="6"/>
  <c r="AN31" i="6"/>
  <c r="AC31" i="6"/>
  <c r="BD31" i="6"/>
  <c r="AM31" i="6"/>
  <c r="AY31" i="6"/>
  <c r="AF31" i="6"/>
  <c r="K31" i="12"/>
  <c r="B32" i="6"/>
  <c r="AE32" i="5"/>
  <c r="E32" i="5"/>
  <c r="F32" i="5"/>
  <c r="G32" i="5"/>
  <c r="B32" i="5"/>
  <c r="A32" i="12"/>
  <c r="J32" i="5"/>
  <c r="K32" i="5"/>
  <c r="H32" i="5"/>
  <c r="D32" i="5"/>
  <c r="B32" i="12" s="1"/>
  <c r="N32" i="5"/>
  <c r="D32" i="6" s="1"/>
  <c r="H32" i="6" s="1"/>
  <c r="T32" i="5" s="1"/>
  <c r="G32" i="12" s="1"/>
  <c r="AD32" i="5"/>
  <c r="B37" i="7"/>
  <c r="E51" i="12"/>
  <c r="F51" i="6"/>
  <c r="AC11" i="10"/>
  <c r="AD12" i="10"/>
  <c r="AC11" i="9"/>
  <c r="AD12" i="9"/>
  <c r="A92" i="8" l="1"/>
  <c r="C33" i="5"/>
  <c r="L32" i="12"/>
  <c r="J32" i="12"/>
  <c r="A32" i="6"/>
  <c r="M32" i="6" s="1"/>
  <c r="AD11" i="9"/>
  <c r="AE12" i="9"/>
  <c r="AE11" i="9" s="1"/>
  <c r="AE12" i="10"/>
  <c r="AD11" i="10"/>
  <c r="A95" i="8" l="1"/>
  <c r="C34" i="5"/>
  <c r="A33" i="12"/>
  <c r="AD33" i="5"/>
  <c r="B33" i="6"/>
  <c r="A33" i="6" s="1"/>
  <c r="W33" i="5"/>
  <c r="H33" i="12" s="1"/>
  <c r="N33" i="5"/>
  <c r="D33" i="6" s="1"/>
  <c r="H33" i="6" s="1"/>
  <c r="T33" i="5" s="1"/>
  <c r="G33" i="12" s="1"/>
  <c r="AE33" i="5"/>
  <c r="E33" i="5"/>
  <c r="B33" i="5"/>
  <c r="H33" i="5"/>
  <c r="G33" i="5"/>
  <c r="F33" i="5"/>
  <c r="E40" i="12"/>
  <c r="F40" i="6"/>
  <c r="K32" i="12"/>
  <c r="BC32" i="6"/>
  <c r="BF32" i="6"/>
  <c r="AO32" i="6"/>
  <c r="AV32" i="6"/>
  <c r="AM32" i="6"/>
  <c r="AH32" i="6"/>
  <c r="AG32" i="6"/>
  <c r="AS32" i="6"/>
  <c r="AF32" i="6"/>
  <c r="AT32" i="6"/>
  <c r="BD32" i="6"/>
  <c r="AX32" i="6"/>
  <c r="BA32" i="6"/>
  <c r="BB32" i="6"/>
  <c r="AC32" i="6"/>
  <c r="AB32" i="6"/>
  <c r="BG32" i="6"/>
  <c r="AI32" i="6"/>
  <c r="AD32" i="6"/>
  <c r="AN32" i="6"/>
  <c r="AZ32" i="6"/>
  <c r="AU32" i="6"/>
  <c r="AR32" i="6"/>
  <c r="AQ32" i="6"/>
  <c r="AK32" i="6"/>
  <c r="AJ32" i="6"/>
  <c r="AY32" i="6"/>
  <c r="AP32" i="6"/>
  <c r="BE32" i="6"/>
  <c r="AE11" i="10"/>
  <c r="AF12" i="10"/>
  <c r="AF11" i="10" s="1"/>
  <c r="A98" i="8" l="1"/>
  <c r="H34" i="5"/>
  <c r="F34" i="5"/>
  <c r="E34" i="5"/>
  <c r="G33" i="6"/>
  <c r="G34" i="5"/>
  <c r="E33" i="12"/>
  <c r="F33" i="6"/>
  <c r="B34" i="6"/>
  <c r="AD34" i="5"/>
  <c r="J34" i="5"/>
  <c r="C35" i="5"/>
  <c r="D34" i="5"/>
  <c r="B34" i="12" s="1"/>
  <c r="N34" i="5"/>
  <c r="D34" i="6" s="1"/>
  <c r="AE34" i="5"/>
  <c r="K34" i="5"/>
  <c r="A34" i="12"/>
  <c r="B34" i="5"/>
  <c r="M33" i="6"/>
  <c r="AK33" i="6" s="1"/>
  <c r="A101" i="8" l="1"/>
  <c r="A34" i="6"/>
  <c r="M34" i="6" s="1"/>
  <c r="B35" i="5"/>
  <c r="H34" i="6"/>
  <c r="T34" i="5" s="1"/>
  <c r="G34" i="12" s="1"/>
  <c r="J34" i="12"/>
  <c r="L34" i="12"/>
  <c r="AD35" i="5"/>
  <c r="K35" i="5"/>
  <c r="E35" i="5"/>
  <c r="AE35" i="5"/>
  <c r="C36" i="5"/>
  <c r="A35" i="12"/>
  <c r="D35" i="5"/>
  <c r="B35" i="12" s="1"/>
  <c r="F35" i="5"/>
  <c r="H35" i="5"/>
  <c r="G35" i="5"/>
  <c r="B35" i="6"/>
  <c r="N35" i="5"/>
  <c r="D35" i="6" s="1"/>
  <c r="J35" i="5"/>
  <c r="AC33" i="6"/>
  <c r="AY33" i="6"/>
  <c r="AG33" i="6"/>
  <c r="BB33" i="6"/>
  <c r="AJ33" i="6"/>
  <c r="BE33" i="6"/>
  <c r="AN33" i="6"/>
  <c r="BD33" i="6"/>
  <c r="AM33" i="6"/>
  <c r="AT33" i="6"/>
  <c r="AX33" i="6"/>
  <c r="AF33" i="6"/>
  <c r="BA33" i="6"/>
  <c r="AI33" i="6"/>
  <c r="AZ33" i="6"/>
  <c r="AH33" i="6"/>
  <c r="BG33" i="6"/>
  <c r="AP33" i="6"/>
  <c r="AS33" i="6"/>
  <c r="AB33" i="6"/>
  <c r="AV33" i="6"/>
  <c r="AU33" i="6"/>
  <c r="AD33" i="6"/>
  <c r="BC33" i="6"/>
  <c r="BF33" i="6"/>
  <c r="AO33" i="6"/>
  <c r="AR33" i="6"/>
  <c r="AQ33" i="6"/>
  <c r="A104" i="8" l="1"/>
  <c r="A35" i="6"/>
  <c r="M35" i="6" s="1"/>
  <c r="K34" i="12"/>
  <c r="H35" i="6"/>
  <c r="T35" i="5" s="1"/>
  <c r="G35" i="12" s="1"/>
  <c r="L35" i="12"/>
  <c r="J35" i="12"/>
  <c r="C37" i="5"/>
  <c r="C38" i="5" s="1"/>
  <c r="AD36" i="5"/>
  <c r="J36" i="5"/>
  <c r="AE36" i="5"/>
  <c r="G36" i="5"/>
  <c r="H36" i="5"/>
  <c r="A36" i="12"/>
  <c r="F36" i="5"/>
  <c r="N36" i="5"/>
  <c r="D36" i="6" s="1"/>
  <c r="D36" i="5"/>
  <c r="B36" i="12" s="1"/>
  <c r="B36" i="6"/>
  <c r="B36" i="5"/>
  <c r="E36" i="5"/>
  <c r="K36" i="5"/>
  <c r="BC34" i="6"/>
  <c r="AK34" i="6"/>
  <c r="BF34" i="6"/>
  <c r="AO34" i="6"/>
  <c r="AR34" i="6"/>
  <c r="AD34" i="6"/>
  <c r="AM34" i="6"/>
  <c r="AY34" i="6"/>
  <c r="BB34" i="6"/>
  <c r="BE34" i="6"/>
  <c r="AN34" i="6"/>
  <c r="AZ34" i="6"/>
  <c r="AQ34" i="6"/>
  <c r="AT34" i="6"/>
  <c r="AX34" i="6"/>
  <c r="BA34" i="6"/>
  <c r="AI34" i="6"/>
  <c r="AH34" i="6"/>
  <c r="BG34" i="6"/>
  <c r="AP34" i="6"/>
  <c r="AS34" i="6"/>
  <c r="AB34" i="6"/>
  <c r="AV34" i="6"/>
  <c r="AU34" i="6"/>
  <c r="BD34" i="6"/>
  <c r="AG34" i="6"/>
  <c r="AF34" i="6"/>
  <c r="AC34" i="6"/>
  <c r="AJ34" i="6"/>
  <c r="E70" i="12"/>
  <c r="F70" i="6"/>
  <c r="A107" i="8" l="1"/>
  <c r="A110" i="8" s="1"/>
  <c r="B38" i="6"/>
  <c r="AD38" i="5"/>
  <c r="D38" i="5"/>
  <c r="B38" i="12" s="1"/>
  <c r="A38" i="12"/>
  <c r="K38" i="5"/>
  <c r="AE38" i="5"/>
  <c r="N38" i="5"/>
  <c r="J38" i="5"/>
  <c r="A36" i="6"/>
  <c r="M36" i="6" s="1"/>
  <c r="K35" i="12"/>
  <c r="H36" i="6"/>
  <c r="T36" i="5" s="1"/>
  <c r="G36" i="12" s="1"/>
  <c r="E37" i="5"/>
  <c r="E38" i="5" s="1"/>
  <c r="A37" i="12"/>
  <c r="D37" i="5"/>
  <c r="B37" i="12" s="1"/>
  <c r="AE37" i="5"/>
  <c r="AD37" i="5"/>
  <c r="N37" i="5"/>
  <c r="D37" i="6" s="1"/>
  <c r="J37" i="5"/>
  <c r="H37" i="5"/>
  <c r="H38" i="5" s="1"/>
  <c r="G37" i="5"/>
  <c r="G38" i="5" s="1"/>
  <c r="B37" i="5"/>
  <c r="C39" i="5" s="1"/>
  <c r="B37" i="6"/>
  <c r="F37" i="5"/>
  <c r="F38" i="5" s="1"/>
  <c r="K37" i="5"/>
  <c r="J36" i="12"/>
  <c r="L36" i="12"/>
  <c r="AY35" i="6"/>
  <c r="BB35" i="6"/>
  <c r="BE35" i="6"/>
  <c r="AN35" i="6"/>
  <c r="AQ35" i="6"/>
  <c r="AZ35" i="6"/>
  <c r="AT35" i="6"/>
  <c r="AX35" i="6"/>
  <c r="BA35" i="6"/>
  <c r="BG35" i="6"/>
  <c r="AP35" i="6"/>
  <c r="AS35" i="6"/>
  <c r="AB35" i="6"/>
  <c r="AV35" i="6"/>
  <c r="BD35" i="6"/>
  <c r="AU35" i="6"/>
  <c r="BC35" i="6"/>
  <c r="BF35" i="6"/>
  <c r="AO35" i="6"/>
  <c r="AR35" i="6"/>
  <c r="AM35" i="6"/>
  <c r="AF35" i="6"/>
  <c r="AC35" i="6"/>
  <c r="AJ35" i="6"/>
  <c r="AD35" i="6"/>
  <c r="AH35" i="6"/>
  <c r="AG35" i="6"/>
  <c r="AK35" i="6"/>
  <c r="AI35" i="6"/>
  <c r="J38" i="12" l="1"/>
  <c r="L38" i="12"/>
  <c r="B38" i="5"/>
  <c r="B39" i="5" s="1"/>
  <c r="D38" i="6"/>
  <c r="A37" i="6"/>
  <c r="M37" i="6" s="1"/>
  <c r="K36" i="12"/>
  <c r="J37" i="12"/>
  <c r="L37" i="12"/>
  <c r="H37" i="6"/>
  <c r="T37" i="5" s="1"/>
  <c r="G37" i="12" s="1"/>
  <c r="AE39" i="5"/>
  <c r="H39" i="5"/>
  <c r="A39" i="12"/>
  <c r="F39" i="5"/>
  <c r="N39" i="5"/>
  <c r="D39" i="6" s="1"/>
  <c r="G39" i="5"/>
  <c r="B39" i="6"/>
  <c r="E39" i="5"/>
  <c r="AD39" i="5"/>
  <c r="AY36" i="6"/>
  <c r="BB36" i="6"/>
  <c r="BE36" i="6"/>
  <c r="AN36" i="6"/>
  <c r="AZ36" i="6"/>
  <c r="AQ36" i="6"/>
  <c r="AT36" i="6"/>
  <c r="AX36" i="6"/>
  <c r="BA36" i="6"/>
  <c r="BG36" i="6"/>
  <c r="AP36" i="6"/>
  <c r="AS36" i="6"/>
  <c r="AB36" i="6"/>
  <c r="AV36" i="6"/>
  <c r="AU36" i="6"/>
  <c r="BD36" i="6"/>
  <c r="BC36" i="6"/>
  <c r="BF36" i="6"/>
  <c r="AO36" i="6"/>
  <c r="AR36" i="6"/>
  <c r="AM36" i="6"/>
  <c r="AF36" i="6"/>
  <c r="AG36" i="6"/>
  <c r="AK36" i="6"/>
  <c r="AI36" i="6"/>
  <c r="AC36" i="6"/>
  <c r="AD36" i="6"/>
  <c r="AH36" i="6"/>
  <c r="AJ36" i="6"/>
  <c r="F62" i="6"/>
  <c r="E62" i="12"/>
  <c r="K38" i="12" l="1"/>
  <c r="H38" i="6"/>
  <c r="T38" i="5" s="1"/>
  <c r="G38" i="12" s="1"/>
  <c r="A38" i="6"/>
  <c r="N38" i="6" s="1"/>
  <c r="H39" i="6"/>
  <c r="T39" i="5" s="1"/>
  <c r="G39" i="12" s="1"/>
  <c r="K37" i="12"/>
  <c r="BG37" i="6"/>
  <c r="AP37" i="6"/>
  <c r="AS37" i="6"/>
  <c r="AB37" i="6"/>
  <c r="AV37" i="6"/>
  <c r="BD37" i="6"/>
  <c r="AU37" i="6"/>
  <c r="AC37" i="6"/>
  <c r="AX37" i="6"/>
  <c r="AI37" i="6"/>
  <c r="AH37" i="6"/>
  <c r="BC37" i="6"/>
  <c r="AK37" i="6"/>
  <c r="BF37" i="6"/>
  <c r="AO37" i="6"/>
  <c r="AR37" i="6"/>
  <c r="AM37" i="6"/>
  <c r="AD37" i="6"/>
  <c r="AT37" i="6"/>
  <c r="AF37" i="6"/>
  <c r="BA37" i="6"/>
  <c r="AY37" i="6"/>
  <c r="BB37" i="6"/>
  <c r="BE37" i="6"/>
  <c r="AN37" i="6"/>
  <c r="AQ37" i="6"/>
  <c r="AZ37" i="6"/>
  <c r="AJ37" i="6"/>
  <c r="AG37" i="6"/>
  <c r="A39" i="6" l="1"/>
  <c r="M39" i="6" s="1"/>
  <c r="AG39" i="6" s="1"/>
  <c r="M38" i="6"/>
  <c r="BE38" i="6" s="1"/>
  <c r="AD39" i="6" l="1"/>
  <c r="AS39" i="6"/>
  <c r="AC39" i="6"/>
  <c r="AO39" i="6"/>
  <c r="AP39" i="6"/>
  <c r="AF39" i="6"/>
  <c r="AK39" i="6"/>
  <c r="AJ39" i="6"/>
  <c r="AM39" i="6"/>
  <c r="BD39" i="6"/>
  <c r="AS38" i="6"/>
  <c r="AU39" i="6"/>
  <c r="BG39" i="6"/>
  <c r="AH39" i="6"/>
  <c r="BF39" i="6"/>
  <c r="AV39" i="6"/>
  <c r="AQ39" i="6"/>
  <c r="AC38" i="6"/>
  <c r="BE39" i="6"/>
  <c r="BD38" i="6"/>
  <c r="BF38" i="6"/>
  <c r="BB38" i="6"/>
  <c r="AI38" i="6"/>
  <c r="AU38" i="6"/>
  <c r="AT39" i="6"/>
  <c r="AY39" i="6"/>
  <c r="AK38" i="6"/>
  <c r="AD38" i="6"/>
  <c r="AI39" i="6"/>
  <c r="AR39" i="6"/>
  <c r="BC39" i="6"/>
  <c r="AB39" i="6"/>
  <c r="BA39" i="6"/>
  <c r="AZ39" i="6"/>
  <c r="BB39" i="6"/>
  <c r="AM38" i="6"/>
  <c r="AZ38" i="6"/>
  <c r="AX38" i="6"/>
  <c r="AJ38" i="6"/>
  <c r="AX39" i="6"/>
  <c r="AN39" i="6"/>
  <c r="BG38" i="6"/>
  <c r="AB38" i="6"/>
  <c r="AH38" i="6"/>
  <c r="AO38" i="6"/>
  <c r="AF38" i="6"/>
  <c r="AY38" i="6"/>
  <c r="AQ38" i="6"/>
  <c r="AN38" i="6"/>
  <c r="AP38" i="6"/>
  <c r="BA38" i="6"/>
  <c r="BC38" i="6"/>
  <c r="AT38" i="6"/>
  <c r="AV38" i="6"/>
  <c r="AG38" i="6"/>
  <c r="AR38" i="6"/>
  <c r="E84" i="12" l="1"/>
  <c r="F84" i="6"/>
  <c r="C40" i="5" l="1"/>
  <c r="N40" i="5" l="1"/>
  <c r="D40" i="6" s="1"/>
  <c r="C41" i="5"/>
  <c r="B40" i="5"/>
  <c r="A40" i="12"/>
  <c r="H40" i="5"/>
  <c r="E40" i="5"/>
  <c r="AE40" i="5"/>
  <c r="G40" i="5"/>
  <c r="AD40" i="5"/>
  <c r="B40" i="6"/>
  <c r="A40" i="6" s="1"/>
  <c r="W40" i="5"/>
  <c r="H40" i="12" s="1"/>
  <c r="F40" i="5"/>
  <c r="A41" i="12" l="1"/>
  <c r="B41" i="6"/>
  <c r="C42" i="5"/>
  <c r="AE41" i="5"/>
  <c r="N41" i="5"/>
  <c r="D41" i="6" s="1"/>
  <c r="E41" i="5"/>
  <c r="W41" i="5"/>
  <c r="H41" i="12" s="1"/>
  <c r="G41" i="5"/>
  <c r="B41" i="5"/>
  <c r="F41" i="5"/>
  <c r="AD41" i="5"/>
  <c r="H41" i="5"/>
  <c r="M40" i="6"/>
  <c r="BG40" i="6" s="1"/>
  <c r="AM40" i="6"/>
  <c r="BC40" i="6"/>
  <c r="AN40" i="6"/>
  <c r="BE40" i="6"/>
  <c r="BA40" i="6"/>
  <c r="AX40" i="6"/>
  <c r="AT40" i="6"/>
  <c r="G40" i="6"/>
  <c r="BD40" i="6"/>
  <c r="AS40" i="6"/>
  <c r="AO40" i="6"/>
  <c r="AY40" i="6"/>
  <c r="AQ40" i="6"/>
  <c r="BB40" i="6"/>
  <c r="AP40" i="6"/>
  <c r="AR40" i="6"/>
  <c r="AZ40" i="6"/>
  <c r="AU40" i="6"/>
  <c r="H40" i="6"/>
  <c r="T40" i="5" s="1"/>
  <c r="G40" i="12" s="1"/>
  <c r="AV40" i="6"/>
  <c r="BF40" i="6"/>
  <c r="AG40" i="6" l="1"/>
  <c r="AH40" i="6"/>
  <c r="AD40" i="6"/>
  <c r="A41" i="6"/>
  <c r="M41" i="6" s="1"/>
  <c r="G41" i="6"/>
  <c r="H41" i="6"/>
  <c r="AI40" i="6"/>
  <c r="AK40" i="6"/>
  <c r="AJ40" i="6"/>
  <c r="F41" i="6"/>
  <c r="E41" i="12"/>
  <c r="F42" i="5"/>
  <c r="K42" i="5"/>
  <c r="B42" i="5"/>
  <c r="AD42" i="5"/>
  <c r="G42" i="5"/>
  <c r="H42" i="5"/>
  <c r="B42" i="6"/>
  <c r="E42" i="5"/>
  <c r="A42" i="12"/>
  <c r="AE42" i="5"/>
  <c r="D42" i="5"/>
  <c r="B42" i="12" s="1"/>
  <c r="N42" i="5"/>
  <c r="D42" i="6" s="1"/>
  <c r="C43" i="5"/>
  <c r="J42" i="5"/>
  <c r="AC40" i="6"/>
  <c r="AB40" i="6"/>
  <c r="AF40" i="6"/>
  <c r="AO41" i="6" l="1"/>
  <c r="AY41" i="6"/>
  <c r="BC41" i="6"/>
  <c r="AX41" i="6"/>
  <c r="BG41" i="6"/>
  <c r="AG41" i="6"/>
  <c r="AU41" i="6"/>
  <c r="AF41" i="6"/>
  <c r="AB41" i="6"/>
  <c r="BA41" i="6"/>
  <c r="AT41" i="6"/>
  <c r="AC41" i="6"/>
  <c r="T41" i="5"/>
  <c r="G41" i="12" s="1"/>
  <c r="AK41" i="6"/>
  <c r="AH41" i="6"/>
  <c r="AJ41" i="6"/>
  <c r="BF41" i="6"/>
  <c r="BE41" i="6"/>
  <c r="AV41" i="6"/>
  <c r="AQ41" i="6"/>
  <c r="AZ41" i="6"/>
  <c r="AI41" i="6"/>
  <c r="AE43" i="5"/>
  <c r="K43" i="5"/>
  <c r="A43" i="12"/>
  <c r="C44" i="5"/>
  <c r="AD43" i="5"/>
  <c r="E43" i="5"/>
  <c r="F43" i="5"/>
  <c r="H43" i="5"/>
  <c r="J43" i="5"/>
  <c r="D43" i="5"/>
  <c r="B43" i="12" s="1"/>
  <c r="N43" i="5"/>
  <c r="D43" i="6" s="1"/>
  <c r="G43" i="5"/>
  <c r="B43" i="5"/>
  <c r="B43" i="6"/>
  <c r="L42" i="12"/>
  <c r="J42" i="12"/>
  <c r="BB41" i="6"/>
  <c r="AP41" i="6"/>
  <c r="AS41" i="6"/>
  <c r="AM41" i="6"/>
  <c r="AR41" i="6"/>
  <c r="AN41" i="6"/>
  <c r="BD41" i="6"/>
  <c r="A42" i="6"/>
  <c r="M42" i="6" s="1"/>
  <c r="H42" i="6"/>
  <c r="AD41" i="6"/>
  <c r="BA42" i="6" l="1"/>
  <c r="AZ42" i="6"/>
  <c r="AS42" i="6"/>
  <c r="BB42" i="6"/>
  <c r="AT42" i="6"/>
  <c r="AQ42" i="6"/>
  <c r="AY42" i="6"/>
  <c r="AN42" i="6"/>
  <c r="BC42" i="6"/>
  <c r="AP42" i="6"/>
  <c r="BF42" i="6"/>
  <c r="AX42" i="6"/>
  <c r="AV42" i="6"/>
  <c r="AM42" i="6"/>
  <c r="AR42" i="6"/>
  <c r="BE42" i="6"/>
  <c r="BG42" i="6"/>
  <c r="AU42" i="6"/>
  <c r="BD42" i="6"/>
  <c r="AO42" i="6"/>
  <c r="K42" i="12"/>
  <c r="A43" i="6"/>
  <c r="M43" i="6" s="1"/>
  <c r="AX43" i="6" s="1"/>
  <c r="H43" i="6"/>
  <c r="B44" i="6"/>
  <c r="E44" i="5"/>
  <c r="G44" i="5"/>
  <c r="C45" i="5"/>
  <c r="D44" i="5"/>
  <c r="B44" i="12" s="1"/>
  <c r="AE44" i="5"/>
  <c r="B44" i="5"/>
  <c r="J44" i="5"/>
  <c r="AD44" i="5"/>
  <c r="K44" i="5"/>
  <c r="F44" i="5"/>
  <c r="H44" i="5"/>
  <c r="N44" i="5"/>
  <c r="D44" i="6" s="1"/>
  <c r="A44" i="12"/>
  <c r="J43" i="12"/>
  <c r="L43" i="12"/>
  <c r="T42" i="5"/>
  <c r="G42" i="12" s="1"/>
  <c r="AB42" i="6"/>
  <c r="AK42" i="6"/>
  <c r="AI42" i="6"/>
  <c r="AF42" i="6"/>
  <c r="AH42" i="6"/>
  <c r="AJ42" i="6"/>
  <c r="AG42" i="6"/>
  <c r="AC42" i="6"/>
  <c r="AD42" i="6"/>
  <c r="AZ43" i="6" l="1"/>
  <c r="BE43" i="6"/>
  <c r="BF43" i="6"/>
  <c r="K43" i="12"/>
  <c r="A44" i="6"/>
  <c r="M44" i="6" s="1"/>
  <c r="AY44" i="6" s="1"/>
  <c r="AU43" i="6"/>
  <c r="AT43" i="6"/>
  <c r="AH43" i="6"/>
  <c r="D45" i="5"/>
  <c r="B45" i="12" s="1"/>
  <c r="E45" i="5"/>
  <c r="B45" i="5"/>
  <c r="C46" i="5" s="1"/>
  <c r="AD45" i="5"/>
  <c r="H45" i="5"/>
  <c r="J45" i="5"/>
  <c r="B45" i="6"/>
  <c r="AE45" i="5"/>
  <c r="G45" i="5"/>
  <c r="N45" i="5"/>
  <c r="D45" i="6" s="1"/>
  <c r="K45" i="5"/>
  <c r="A45" i="12"/>
  <c r="F45" i="5"/>
  <c r="AP43" i="6"/>
  <c r="BG43" i="6"/>
  <c r="AO43" i="6"/>
  <c r="AS43" i="6"/>
  <c r="BA43" i="6"/>
  <c r="AK43" i="6"/>
  <c r="L44" i="12"/>
  <c r="J44" i="12"/>
  <c r="AQ43" i="6"/>
  <c r="AN43" i="6"/>
  <c r="AV43" i="6"/>
  <c r="AM43" i="6"/>
  <c r="AY43" i="6"/>
  <c r="H44" i="6"/>
  <c r="BB43" i="6"/>
  <c r="T43" i="5"/>
  <c r="G43" i="12" s="1"/>
  <c r="AD43" i="6"/>
  <c r="AB43" i="6"/>
  <c r="AJ43" i="6"/>
  <c r="AF43" i="6"/>
  <c r="AC43" i="6"/>
  <c r="AI43" i="6"/>
  <c r="AG43" i="6"/>
  <c r="AR43" i="6"/>
  <c r="BD43" i="6"/>
  <c r="BC43" i="6"/>
  <c r="BE44" i="6" l="1"/>
  <c r="AT44" i="6"/>
  <c r="AV44" i="6"/>
  <c r="BD44" i="6"/>
  <c r="BF44" i="6"/>
  <c r="AQ44" i="6"/>
  <c r="AU44" i="6"/>
  <c r="BC44" i="6"/>
  <c r="K44" i="12"/>
  <c r="AR44" i="6"/>
  <c r="AX44" i="6"/>
  <c r="AP44" i="6"/>
  <c r="BA44" i="6"/>
  <c r="BG44" i="6"/>
  <c r="A45" i="6"/>
  <c r="M45" i="6" s="1"/>
  <c r="AP45" i="6" s="1"/>
  <c r="AS44" i="6"/>
  <c r="AM44" i="6"/>
  <c r="AZ44" i="6"/>
  <c r="BB44" i="6"/>
  <c r="AN44" i="6"/>
  <c r="AO44" i="6"/>
  <c r="T44" i="5"/>
  <c r="G44" i="12" s="1"/>
  <c r="AI44" i="6"/>
  <c r="AJ44" i="6"/>
  <c r="AH44" i="6"/>
  <c r="AB44" i="6"/>
  <c r="AC44" i="6"/>
  <c r="AG44" i="6"/>
  <c r="AF44" i="6"/>
  <c r="AK44" i="6"/>
  <c r="AD44" i="6"/>
  <c r="N46" i="5"/>
  <c r="D46" i="6" s="1"/>
  <c r="C47" i="5"/>
  <c r="B46" i="6"/>
  <c r="H46" i="5"/>
  <c r="E46" i="5"/>
  <c r="AE46" i="5"/>
  <c r="A46" i="12"/>
  <c r="G46" i="5"/>
  <c r="AD46" i="5"/>
  <c r="B46" i="5"/>
  <c r="F46" i="5"/>
  <c r="H45" i="6"/>
  <c r="L45" i="12"/>
  <c r="J45" i="12"/>
  <c r="W46" i="5" l="1"/>
  <c r="H46" i="12" s="1"/>
  <c r="AY45" i="6"/>
  <c r="AV45" i="6"/>
  <c r="AO45" i="6"/>
  <c r="AN45" i="6"/>
  <c r="K45" i="12"/>
  <c r="BA45" i="6"/>
  <c r="BD45" i="6"/>
  <c r="AQ45" i="6"/>
  <c r="AX45" i="6"/>
  <c r="BG45" i="6"/>
  <c r="BC45" i="6"/>
  <c r="AZ45" i="6"/>
  <c r="AS45" i="6"/>
  <c r="BB45" i="6"/>
  <c r="AU45" i="6"/>
  <c r="BF45" i="6"/>
  <c r="AR45" i="6"/>
  <c r="AM45" i="6"/>
  <c r="BE45" i="6"/>
  <c r="AT45" i="6"/>
  <c r="A46" i="6"/>
  <c r="M46" i="6" s="1"/>
  <c r="AY46" i="6" s="1"/>
  <c r="T45" i="5"/>
  <c r="G45" i="12" s="1"/>
  <c r="AH45" i="6"/>
  <c r="AJ45" i="6"/>
  <c r="AK45" i="6"/>
  <c r="AC45" i="6"/>
  <c r="AG45" i="6"/>
  <c r="AB45" i="6"/>
  <c r="AD45" i="6"/>
  <c r="AF45" i="6"/>
  <c r="AI45" i="6"/>
  <c r="H47" i="5"/>
  <c r="B47" i="6"/>
  <c r="AE47" i="5"/>
  <c r="K47" i="5"/>
  <c r="D47" i="5"/>
  <c r="B47" i="12" s="1"/>
  <c r="C48" i="5"/>
  <c r="E47" i="5"/>
  <c r="A47" i="12"/>
  <c r="N47" i="5"/>
  <c r="D47" i="6" s="1"/>
  <c r="G47" i="5"/>
  <c r="AD47" i="5"/>
  <c r="F47" i="5"/>
  <c r="B47" i="5"/>
  <c r="J47" i="5"/>
  <c r="H46" i="6"/>
  <c r="G46" i="6"/>
  <c r="E46" i="12"/>
  <c r="F46" i="6"/>
  <c r="AO46" i="6" l="1"/>
  <c r="AS46" i="6"/>
  <c r="AJ46" i="6"/>
  <c r="BD46" i="6"/>
  <c r="BB46" i="6"/>
  <c r="AT46" i="6"/>
  <c r="BG46" i="6"/>
  <c r="AZ46" i="6"/>
  <c r="AP46" i="6"/>
  <c r="AM46" i="6"/>
  <c r="AX46" i="6"/>
  <c r="AV46" i="6"/>
  <c r="AR46" i="6"/>
  <c r="BE46" i="6"/>
  <c r="AN46" i="6"/>
  <c r="BA46" i="6"/>
  <c r="A47" i="6"/>
  <c r="M47" i="6" s="1"/>
  <c r="AR47" i="6" s="1"/>
  <c r="BC46" i="6"/>
  <c r="AQ46" i="6"/>
  <c r="AG46" i="6"/>
  <c r="AK46" i="6"/>
  <c r="BF46" i="6"/>
  <c r="AU46" i="6"/>
  <c r="J47" i="12"/>
  <c r="L47" i="12"/>
  <c r="T46" i="5"/>
  <c r="G46" i="12" s="1"/>
  <c r="AD46" i="6"/>
  <c r="AH46" i="6"/>
  <c r="AF46" i="6"/>
  <c r="AI46" i="6"/>
  <c r="AB46" i="6"/>
  <c r="J48" i="5"/>
  <c r="E48" i="5"/>
  <c r="A48" i="12"/>
  <c r="D48" i="5"/>
  <c r="B48" i="12" s="1"/>
  <c r="F48" i="5"/>
  <c r="AD48" i="5"/>
  <c r="B48" i="6"/>
  <c r="N48" i="5"/>
  <c r="D48" i="6" s="1"/>
  <c r="H48" i="5"/>
  <c r="B48" i="5"/>
  <c r="K48" i="5"/>
  <c r="AE48" i="5"/>
  <c r="G48" i="5"/>
  <c r="C49" i="5"/>
  <c r="H47" i="6"/>
  <c r="AC46" i="6"/>
  <c r="AO47" i="6" l="1"/>
  <c r="BD47" i="6"/>
  <c r="AV47" i="6"/>
  <c r="A48" i="6"/>
  <c r="M48" i="6" s="1"/>
  <c r="AN48" i="6" s="1"/>
  <c r="BG47" i="6"/>
  <c r="K47" i="12"/>
  <c r="AY47" i="6"/>
  <c r="AU47" i="6"/>
  <c r="AX47" i="6"/>
  <c r="AN47" i="6"/>
  <c r="AM47" i="6"/>
  <c r="BF47" i="6"/>
  <c r="BC47" i="6"/>
  <c r="AQ47" i="6"/>
  <c r="AT47" i="6"/>
  <c r="AP47" i="6"/>
  <c r="BE47" i="6"/>
  <c r="AZ47" i="6"/>
  <c r="BB47" i="6"/>
  <c r="AS47" i="6"/>
  <c r="BA47" i="6"/>
  <c r="H49" i="5"/>
  <c r="G49" i="5"/>
  <c r="F49" i="5"/>
  <c r="AE49" i="5"/>
  <c r="K49" i="5"/>
  <c r="E49" i="5"/>
  <c r="D49" i="5"/>
  <c r="B49" i="12" s="1"/>
  <c r="A49" i="12"/>
  <c r="B49" i="6"/>
  <c r="B49" i="5"/>
  <c r="N49" i="5"/>
  <c r="D49" i="6" s="1"/>
  <c r="AD49" i="5"/>
  <c r="J49" i="5"/>
  <c r="T47" i="5"/>
  <c r="G47" i="12" s="1"/>
  <c r="AF47" i="6"/>
  <c r="AB47" i="6"/>
  <c r="AH47" i="6"/>
  <c r="AK47" i="6"/>
  <c r="AC47" i="6"/>
  <c r="AG47" i="6"/>
  <c r="AJ47" i="6"/>
  <c r="AD47" i="6"/>
  <c r="AI47" i="6"/>
  <c r="H48" i="6"/>
  <c r="L48" i="12"/>
  <c r="J48" i="12"/>
  <c r="C50" i="5" l="1"/>
  <c r="E50" i="5" s="1"/>
  <c r="AS48" i="6"/>
  <c r="AZ48" i="6"/>
  <c r="BE48" i="6"/>
  <c r="BF48" i="6"/>
  <c r="BG48" i="6"/>
  <c r="AV48" i="6"/>
  <c r="BC48" i="6"/>
  <c r="AQ48" i="6"/>
  <c r="AP48" i="6"/>
  <c r="AY48" i="6"/>
  <c r="AX48" i="6"/>
  <c r="BA48" i="6"/>
  <c r="AM48" i="6"/>
  <c r="AU48" i="6"/>
  <c r="BB48" i="6"/>
  <c r="AR48" i="6"/>
  <c r="BD48" i="6"/>
  <c r="AT48" i="6"/>
  <c r="AO48" i="6"/>
  <c r="H49" i="6"/>
  <c r="A49" i="6"/>
  <c r="M49" i="6" s="1"/>
  <c r="K48" i="12"/>
  <c r="T48" i="5"/>
  <c r="G48" i="12" s="1"/>
  <c r="AI48" i="6"/>
  <c r="AC48" i="6"/>
  <c r="AH48" i="6"/>
  <c r="AB48" i="6"/>
  <c r="AF48" i="6"/>
  <c r="AK48" i="6"/>
  <c r="AG48" i="6"/>
  <c r="AD48" i="6"/>
  <c r="AJ48" i="6"/>
  <c r="L49" i="12"/>
  <c r="J49" i="12"/>
  <c r="E117" i="12"/>
  <c r="F117" i="6"/>
  <c r="G50" i="5" l="1"/>
  <c r="AD50" i="5"/>
  <c r="N50" i="5"/>
  <c r="D50" i="6" s="1"/>
  <c r="H50" i="6" s="1"/>
  <c r="T50" i="5" s="1"/>
  <c r="G50" i="12" s="1"/>
  <c r="AE50" i="5"/>
  <c r="B50" i="6"/>
  <c r="A50" i="6" s="1"/>
  <c r="A50" i="12"/>
  <c r="W50" i="5"/>
  <c r="H50" i="12" s="1"/>
  <c r="F50" i="5"/>
  <c r="H50" i="5"/>
  <c r="B50" i="5"/>
  <c r="K49" i="12"/>
  <c r="T49" i="5"/>
  <c r="G49" i="12" s="1"/>
  <c r="AG49" i="6"/>
  <c r="AI49" i="6"/>
  <c r="AD49" i="6"/>
  <c r="AF49" i="6"/>
  <c r="AK49" i="6"/>
  <c r="AJ49" i="6"/>
  <c r="AC49" i="6"/>
  <c r="AH49" i="6"/>
  <c r="AB49" i="6"/>
  <c r="AN49" i="6"/>
  <c r="BD49" i="6"/>
  <c r="AT49" i="6"/>
  <c r="AO49" i="6"/>
  <c r="AM49" i="6"/>
  <c r="AV49" i="6"/>
  <c r="BE49" i="6"/>
  <c r="AZ49" i="6"/>
  <c r="AU49" i="6"/>
  <c r="BB49" i="6"/>
  <c r="BF49" i="6"/>
  <c r="AQ49" i="6"/>
  <c r="BG49" i="6"/>
  <c r="BA49" i="6"/>
  <c r="BC49" i="6"/>
  <c r="AS49" i="6"/>
  <c r="AR49" i="6"/>
  <c r="AY49" i="6"/>
  <c r="AX49" i="6"/>
  <c r="AP49" i="6"/>
  <c r="E123" i="12"/>
  <c r="F123" i="6"/>
  <c r="G50" i="6" l="1"/>
  <c r="N50" i="6"/>
  <c r="F50" i="6"/>
  <c r="E50" i="12"/>
  <c r="M50" i="6"/>
  <c r="AB50" i="6" s="1"/>
  <c r="F81" i="6"/>
  <c r="E81" i="12"/>
  <c r="AC50" i="6" l="1"/>
  <c r="BE50" i="6"/>
  <c r="AN50" i="6"/>
  <c r="BB50" i="6"/>
  <c r="BD50" i="6"/>
  <c r="AM50" i="6"/>
  <c r="BF50" i="6"/>
  <c r="AT50" i="6"/>
  <c r="BA50" i="6"/>
  <c r="AS50" i="6"/>
  <c r="AZ50" i="6"/>
  <c r="AX50" i="6"/>
  <c r="BG50" i="6"/>
  <c r="AP50" i="6"/>
  <c r="AV50" i="6"/>
  <c r="AU50" i="6"/>
  <c r="AO50" i="6"/>
  <c r="BC50" i="6"/>
  <c r="AR50" i="6"/>
  <c r="AQ50" i="6"/>
  <c r="AY50" i="6"/>
  <c r="AI50" i="6"/>
  <c r="AJ50" i="6"/>
  <c r="AH50" i="6"/>
  <c r="AD50" i="6"/>
  <c r="AF50" i="6"/>
  <c r="AK50" i="6"/>
  <c r="AG50" i="6"/>
  <c r="AE12" i="6"/>
  <c r="AE21" i="6" s="1"/>
  <c r="H14" i="6"/>
  <c r="AJ14" i="6" s="1"/>
  <c r="K11" i="10"/>
  <c r="AP12" i="6"/>
  <c r="J11" i="9"/>
  <c r="BA12" i="6"/>
  <c r="AE22" i="6" l="1"/>
  <c r="AE24" i="6"/>
  <c r="AE17" i="6"/>
  <c r="AE18" i="6"/>
  <c r="AE19" i="6"/>
  <c r="AE20" i="6"/>
  <c r="AE38" i="6"/>
  <c r="AE50" i="6"/>
  <c r="AE28" i="6"/>
  <c r="AE34" i="6"/>
  <c r="AE35" i="6"/>
  <c r="AE36" i="6"/>
  <c r="AE37" i="6"/>
  <c r="AE39" i="6"/>
  <c r="AE33" i="6"/>
  <c r="AE40" i="6"/>
  <c r="AE41" i="6"/>
  <c r="AE42" i="6"/>
  <c r="AE43" i="6"/>
  <c r="AE44" i="6"/>
  <c r="AE45" i="6"/>
  <c r="AE46" i="6"/>
  <c r="AE47" i="6"/>
  <c r="AE48" i="6"/>
  <c r="AE49" i="6"/>
  <c r="AE26" i="6"/>
  <c r="AE30" i="6"/>
  <c r="AE31" i="6"/>
  <c r="AE32" i="6"/>
  <c r="AE23" i="6"/>
  <c r="AE25" i="6"/>
  <c r="AE16" i="6"/>
  <c r="AE27" i="6"/>
  <c r="AE29" i="6"/>
  <c r="AK14" i="6"/>
  <c r="T14" i="5"/>
  <c r="AB14" i="6"/>
  <c r="AE14" i="6"/>
  <c r="AD14" i="6"/>
  <c r="AH14" i="6"/>
  <c r="AC14" i="6"/>
  <c r="AG14" i="6"/>
  <c r="AI14" i="6"/>
  <c r="AF14" i="6"/>
  <c r="G14" i="12" l="1"/>
  <c r="X14" i="5"/>
  <c r="I14" i="12" l="1"/>
  <c r="L14" i="5"/>
  <c r="I14" i="5"/>
  <c r="Z14" i="5"/>
  <c r="AM14" i="5"/>
  <c r="AA14" i="5" l="1"/>
  <c r="AB14" i="5"/>
  <c r="O14" i="5"/>
  <c r="C14" i="6"/>
  <c r="O14" i="12"/>
  <c r="M14" i="12"/>
  <c r="C14" i="12"/>
  <c r="AO14" i="12"/>
  <c r="N14" i="12" l="1"/>
  <c r="Y14" i="12"/>
  <c r="D14" i="12"/>
  <c r="E14" i="6"/>
  <c r="W14" i="12" l="1"/>
  <c r="X14" i="12"/>
  <c r="E98" i="12" l="1"/>
  <c r="F98" i="6"/>
  <c r="U14" i="12"/>
  <c r="V14" i="12"/>
  <c r="T14" i="12"/>
  <c r="C51" i="5" l="1"/>
  <c r="AE3" i="6"/>
  <c r="T6" i="6" s="1"/>
  <c r="W51" i="5" l="1"/>
  <c r="H51" i="12" s="1"/>
  <c r="E51" i="5"/>
  <c r="G51" i="5"/>
  <c r="H51" i="5"/>
  <c r="B51" i="6"/>
  <c r="A51" i="6" s="1"/>
  <c r="AD51" i="5"/>
  <c r="A51" i="12"/>
  <c r="B51" i="5"/>
  <c r="C52" i="5"/>
  <c r="AE51" i="5"/>
  <c r="N51" i="5"/>
  <c r="D51" i="6" s="1"/>
  <c r="F51" i="5"/>
  <c r="BG51" i="6" l="1"/>
  <c r="AX51" i="6"/>
  <c r="AT51" i="6"/>
  <c r="BE51" i="6"/>
  <c r="BF51" i="6"/>
  <c r="BA51" i="6"/>
  <c r="AZ51" i="6"/>
  <c r="AQ51" i="6"/>
  <c r="AS51" i="6"/>
  <c r="M51" i="6"/>
  <c r="AV51" i="6" s="1"/>
  <c r="AM51" i="6"/>
  <c r="AR51" i="6"/>
  <c r="AN51" i="6"/>
  <c r="AY51" i="6"/>
  <c r="G51" i="6"/>
  <c r="H51" i="6"/>
  <c r="T51" i="5" s="1"/>
  <c r="G51" i="12" s="1"/>
  <c r="AU51" i="6"/>
  <c r="BD51" i="6"/>
  <c r="AO51" i="6"/>
  <c r="BC51" i="6"/>
  <c r="BB51" i="6"/>
  <c r="AP51" i="6"/>
  <c r="D52" i="5"/>
  <c r="B52" i="12" s="1"/>
  <c r="K52" i="5"/>
  <c r="J52" i="5"/>
  <c r="C53" i="5"/>
  <c r="H52" i="5"/>
  <c r="E52" i="5"/>
  <c r="B52" i="5"/>
  <c r="AD52" i="5"/>
  <c r="F52" i="5"/>
  <c r="A52" i="12"/>
  <c r="N52" i="5"/>
  <c r="D52" i="6" s="1"/>
  <c r="AE52" i="5"/>
  <c r="B52" i="6"/>
  <c r="G52" i="5"/>
  <c r="E127" i="12"/>
  <c r="F127" i="6"/>
  <c r="AJ51" i="6" l="1"/>
  <c r="A52" i="6"/>
  <c r="M52" i="6" s="1"/>
  <c r="AX52" i="6" s="1"/>
  <c r="AK51" i="6"/>
  <c r="AC51" i="6"/>
  <c r="AG51" i="6"/>
  <c r="AD51" i="6"/>
  <c r="AI51" i="6"/>
  <c r="AH51" i="6"/>
  <c r="AF51" i="6"/>
  <c r="AB51" i="6"/>
  <c r="AE51" i="6"/>
  <c r="L52" i="12"/>
  <c r="J52" i="12"/>
  <c r="J53" i="5"/>
  <c r="C54" i="5"/>
  <c r="A53" i="12"/>
  <c r="K53" i="5"/>
  <c r="D53" i="5"/>
  <c r="B53" i="12" s="1"/>
  <c r="B53" i="6"/>
  <c r="F53" i="5"/>
  <c r="N53" i="5"/>
  <c r="D53" i="6" s="1"/>
  <c r="AE53" i="5"/>
  <c r="B53" i="5"/>
  <c r="G53" i="5"/>
  <c r="AD53" i="5"/>
  <c r="E53" i="5"/>
  <c r="H53" i="5"/>
  <c r="H52" i="6"/>
  <c r="T52" i="5" s="1"/>
  <c r="G52" i="12" s="1"/>
  <c r="A53" i="6" l="1"/>
  <c r="M53" i="6" s="1"/>
  <c r="AX53" i="6" s="1"/>
  <c r="AE52" i="6"/>
  <c r="AD52" i="6"/>
  <c r="AP52" i="6"/>
  <c r="AZ52" i="6"/>
  <c r="AR52" i="6"/>
  <c r="AH52" i="6"/>
  <c r="AF52" i="6"/>
  <c r="E54" i="5"/>
  <c r="AE54" i="5"/>
  <c r="F54" i="5"/>
  <c r="J54" i="5"/>
  <c r="AD54" i="5"/>
  <c r="B54" i="6"/>
  <c r="K54" i="5"/>
  <c r="B54" i="5"/>
  <c r="D54" i="5"/>
  <c r="B54" i="12" s="1"/>
  <c r="A54" i="12"/>
  <c r="C55" i="5"/>
  <c r="G54" i="5"/>
  <c r="H54" i="5"/>
  <c r="N54" i="5"/>
  <c r="D54" i="6" s="1"/>
  <c r="AM52" i="6"/>
  <c r="AS52" i="6"/>
  <c r="BG52" i="6"/>
  <c r="BD52" i="6"/>
  <c r="BE52" i="6"/>
  <c r="AN52" i="6"/>
  <c r="AY52" i="6"/>
  <c r="AQ52" i="6"/>
  <c r="H53" i="6"/>
  <c r="T53" i="5" s="1"/>
  <c r="G53" i="12" s="1"/>
  <c r="BF52" i="6"/>
  <c r="AB52" i="6"/>
  <c r="BB52" i="6"/>
  <c r="AK52" i="6"/>
  <c r="AG52" i="6"/>
  <c r="AU52" i="6"/>
  <c r="AO52" i="6"/>
  <c r="AI52" i="6"/>
  <c r="AV52" i="6"/>
  <c r="AJ52" i="6"/>
  <c r="BA52" i="6"/>
  <c r="BC52" i="6"/>
  <c r="AT52" i="6"/>
  <c r="AC52" i="6"/>
  <c r="J53" i="12"/>
  <c r="L53" i="12"/>
  <c r="K52" i="12"/>
  <c r="AH16" i="13"/>
  <c r="AG16" i="13"/>
  <c r="AF18" i="13"/>
  <c r="AF16" i="13"/>
  <c r="AC18" i="13"/>
  <c r="AG18" i="13"/>
  <c r="AH18" i="13"/>
  <c r="AD18" i="13"/>
  <c r="AG22" i="13"/>
  <c r="AC15" i="13"/>
  <c r="AG15" i="13"/>
  <c r="AH15" i="13"/>
  <c r="AD15" i="13"/>
  <c r="AH20" i="13"/>
  <c r="AG23" i="13"/>
  <c r="AF21" i="13"/>
  <c r="AH23" i="13"/>
  <c r="AC21" i="13"/>
  <c r="AH17" i="13"/>
  <c r="AH19" i="13"/>
  <c r="AD19" i="13"/>
  <c r="AG19" i="13"/>
  <c r="AE15" i="13"/>
  <c r="AC16" i="13"/>
  <c r="AE19" i="13"/>
  <c r="AD16" i="13"/>
  <c r="AF19" i="13"/>
  <c r="AD17" i="13"/>
  <c r="AC22" i="13"/>
  <c r="AC20" i="13"/>
  <c r="AC23" i="13"/>
  <c r="AC17" i="13"/>
  <c r="AH22" i="13"/>
  <c r="AH21" i="13"/>
  <c r="AE20" i="13"/>
  <c r="AD23" i="13"/>
  <c r="AE17" i="13"/>
  <c r="AD22" i="13"/>
  <c r="AE21" i="13"/>
  <c r="AF20" i="13"/>
  <c r="AF23" i="13"/>
  <c r="AF17" i="13"/>
  <c r="AE22" i="13"/>
  <c r="AG21" i="13"/>
  <c r="AG20" i="13"/>
  <c r="AC12" i="13"/>
  <c r="AH12" i="13"/>
  <c r="AG12" i="13"/>
  <c r="AE12" i="13"/>
  <c r="AF12" i="13"/>
  <c r="AT53" i="6" l="1"/>
  <c r="BE53" i="6"/>
  <c r="AZ53" i="6"/>
  <c r="BG53" i="6"/>
  <c r="BC53" i="6"/>
  <c r="AO53" i="6"/>
  <c r="BA53" i="6"/>
  <c r="BD53" i="6"/>
  <c r="AY53" i="6"/>
  <c r="AH53" i="6"/>
  <c r="AS53" i="6"/>
  <c r="BF53" i="6"/>
  <c r="AP53" i="6"/>
  <c r="AQ53" i="6"/>
  <c r="AM53" i="6"/>
  <c r="AD53" i="6"/>
  <c r="AI53" i="6"/>
  <c r="AG53" i="6"/>
  <c r="AF53" i="6"/>
  <c r="AK53" i="6"/>
  <c r="AC53" i="6"/>
  <c r="AE53" i="6"/>
  <c r="AV53" i="6"/>
  <c r="AB53" i="6"/>
  <c r="AN53" i="6"/>
  <c r="BB53" i="6"/>
  <c r="AU53" i="6"/>
  <c r="AR53" i="6"/>
  <c r="K53" i="12"/>
  <c r="AJ53" i="6"/>
  <c r="AD55" i="5"/>
  <c r="G55" i="5"/>
  <c r="D55" i="5"/>
  <c r="B55" i="12" s="1"/>
  <c r="N55" i="5"/>
  <c r="D55" i="6" s="1"/>
  <c r="B55" i="6"/>
  <c r="F55" i="5"/>
  <c r="C56" i="5"/>
  <c r="H55" i="5"/>
  <c r="K55" i="5"/>
  <c r="E55" i="5"/>
  <c r="AE55" i="5"/>
  <c r="B55" i="5"/>
  <c r="J55" i="5"/>
  <c r="A55" i="12"/>
  <c r="H54" i="6"/>
  <c r="J54" i="12"/>
  <c r="L54" i="12"/>
  <c r="A54" i="6"/>
  <c r="N54" i="6" s="1"/>
  <c r="M12" i="6"/>
  <c r="AE56" i="5" l="1"/>
  <c r="J56" i="5"/>
  <c r="A56" i="12"/>
  <c r="C57" i="5"/>
  <c r="AD56" i="5"/>
  <c r="F56" i="5"/>
  <c r="D56" i="5"/>
  <c r="B56" i="12" s="1"/>
  <c r="K56" i="5"/>
  <c r="N56" i="5"/>
  <c r="D56" i="6" s="1"/>
  <c r="G56" i="5"/>
  <c r="B56" i="6"/>
  <c r="B56" i="5"/>
  <c r="H56" i="5"/>
  <c r="E56" i="5"/>
  <c r="K54" i="12"/>
  <c r="J55" i="12"/>
  <c r="L55" i="12"/>
  <c r="T54" i="5"/>
  <c r="G54" i="12" s="1"/>
  <c r="A55" i="6"/>
  <c r="N55" i="6" s="1"/>
  <c r="M54" i="6"/>
  <c r="AB54" i="6" s="1"/>
  <c r="H55" i="6"/>
  <c r="AH14" i="13"/>
  <c r="AE14" i="13"/>
  <c r="M55" i="6" l="1"/>
  <c r="AZ55" i="6" s="1"/>
  <c r="AC54" i="6"/>
  <c r="AI54" i="6"/>
  <c r="AF54" i="6"/>
  <c r="AK54" i="6"/>
  <c r="A56" i="6"/>
  <c r="M56" i="6" s="1"/>
  <c r="AR56" i="6" s="1"/>
  <c r="AG54" i="6"/>
  <c r="AE54" i="6"/>
  <c r="AH54" i="6"/>
  <c r="J56" i="12"/>
  <c r="L56" i="12"/>
  <c r="B57" i="6"/>
  <c r="AE57" i="5"/>
  <c r="F57" i="5"/>
  <c r="AD57" i="5"/>
  <c r="K57" i="5"/>
  <c r="J57" i="5"/>
  <c r="H57" i="5"/>
  <c r="D57" i="5"/>
  <c r="B57" i="12" s="1"/>
  <c r="N57" i="5"/>
  <c r="D57" i="6" s="1"/>
  <c r="B57" i="5"/>
  <c r="E57" i="5"/>
  <c r="G57" i="5"/>
  <c r="A57" i="12"/>
  <c r="T55" i="5"/>
  <c r="G55" i="12" s="1"/>
  <c r="AZ54" i="6"/>
  <c r="AQ54" i="6"/>
  <c r="AU54" i="6"/>
  <c r="AX54" i="6"/>
  <c r="BF54" i="6"/>
  <c r="BG54" i="6"/>
  <c r="BE54" i="6"/>
  <c r="AY54" i="6"/>
  <c r="BD54" i="6"/>
  <c r="AN54" i="6"/>
  <c r="AS54" i="6"/>
  <c r="AO54" i="6"/>
  <c r="AR54" i="6"/>
  <c r="BA54" i="6"/>
  <c r="AT54" i="6"/>
  <c r="AM54" i="6"/>
  <c r="BC54" i="6"/>
  <c r="AP54" i="6"/>
  <c r="BB54" i="6"/>
  <c r="AV54" i="6"/>
  <c r="AJ54" i="6"/>
  <c r="AD54" i="6"/>
  <c r="K55" i="12"/>
  <c r="H56" i="6"/>
  <c r="T56" i="5" s="1"/>
  <c r="G56" i="12" s="1"/>
  <c r="BD55" i="6" l="1"/>
  <c r="C58" i="5"/>
  <c r="H58" i="5" s="1"/>
  <c r="BE56" i="6"/>
  <c r="AX56" i="6"/>
  <c r="BA56" i="6"/>
  <c r="BF56" i="6"/>
  <c r="AS56" i="6"/>
  <c r="AO56" i="6"/>
  <c r="AN56" i="6"/>
  <c r="AU56" i="6"/>
  <c r="AG55" i="6"/>
  <c r="AP56" i="6"/>
  <c r="N56" i="6"/>
  <c r="BB56" i="6"/>
  <c r="BG56" i="6"/>
  <c r="AT56" i="6"/>
  <c r="AM56" i="6"/>
  <c r="AD55" i="6"/>
  <c r="AE55" i="6"/>
  <c r="BD56" i="6"/>
  <c r="BC56" i="6"/>
  <c r="AY56" i="6"/>
  <c r="AV56" i="6"/>
  <c r="BG55" i="6"/>
  <c r="AQ55" i="6"/>
  <c r="AT55" i="6"/>
  <c r="AF55" i="6"/>
  <c r="AR55" i="6"/>
  <c r="BF55" i="6"/>
  <c r="BB55" i="6"/>
  <c r="BA55" i="6"/>
  <c r="AN55" i="6"/>
  <c r="AS55" i="6"/>
  <c r="AC55" i="6"/>
  <c r="AZ56" i="6"/>
  <c r="AQ56" i="6"/>
  <c r="AJ55" i="6"/>
  <c r="AB55" i="6"/>
  <c r="AI55" i="6"/>
  <c r="AM55" i="6"/>
  <c r="AP55" i="6"/>
  <c r="AU55" i="6"/>
  <c r="AV55" i="6"/>
  <c r="AO55" i="6"/>
  <c r="AK55" i="6"/>
  <c r="AH55" i="6"/>
  <c r="BE55" i="6"/>
  <c r="AX55" i="6"/>
  <c r="AY55" i="6"/>
  <c r="BC55" i="6"/>
  <c r="AG56" i="6"/>
  <c r="AF56" i="6"/>
  <c r="AI56" i="6"/>
  <c r="A57" i="6"/>
  <c r="M57" i="6" s="1"/>
  <c r="BD57" i="6" s="1"/>
  <c r="H57" i="6"/>
  <c r="T57" i="5" s="1"/>
  <c r="G57" i="12" s="1"/>
  <c r="AB56" i="6"/>
  <c r="AE56" i="6"/>
  <c r="AH56" i="6"/>
  <c r="K56" i="12"/>
  <c r="J57" i="12"/>
  <c r="L57" i="12"/>
  <c r="AJ56" i="6"/>
  <c r="AD56" i="6"/>
  <c r="AC56" i="6"/>
  <c r="AK56" i="6"/>
  <c r="F58" i="5" l="1"/>
  <c r="AD58" i="5"/>
  <c r="N58" i="5"/>
  <c r="D58" i="6" s="1"/>
  <c r="M58" i="6" s="1"/>
  <c r="BE58" i="6" s="1"/>
  <c r="AE58" i="5"/>
  <c r="A58" i="12"/>
  <c r="W58" i="5"/>
  <c r="H58" i="12" s="1"/>
  <c r="B58" i="6"/>
  <c r="A58" i="6" s="1"/>
  <c r="C59" i="5"/>
  <c r="B58" i="5"/>
  <c r="G58" i="5"/>
  <c r="E58" i="5"/>
  <c r="K57" i="12"/>
  <c r="AE57" i="6"/>
  <c r="AC57" i="6"/>
  <c r="AZ57" i="6"/>
  <c r="AH57" i="6"/>
  <c r="BB57" i="6"/>
  <c r="N57" i="6"/>
  <c r="AF57" i="6"/>
  <c r="AO57" i="6"/>
  <c r="AM57" i="6"/>
  <c r="AQ57" i="6"/>
  <c r="AB57" i="6"/>
  <c r="BC57" i="6"/>
  <c r="BA57" i="6"/>
  <c r="AR57" i="6"/>
  <c r="BE57" i="6"/>
  <c r="AG57" i="6"/>
  <c r="AT57" i="6"/>
  <c r="AJ57" i="6"/>
  <c r="AY57" i="6"/>
  <c r="AN57" i="6"/>
  <c r="AD57" i="6"/>
  <c r="AP57" i="6"/>
  <c r="AI57" i="6"/>
  <c r="AV57" i="6"/>
  <c r="AS57" i="6"/>
  <c r="AX57" i="6"/>
  <c r="BF57" i="6"/>
  <c r="AK57" i="6"/>
  <c r="BG57" i="6"/>
  <c r="AU57" i="6"/>
  <c r="W27" i="5"/>
  <c r="G27" i="6"/>
  <c r="E27" i="12"/>
  <c r="F27" i="6"/>
  <c r="N28" i="6" s="1"/>
  <c r="AP58" i="6" l="1"/>
  <c r="BG58" i="6"/>
  <c r="G58" i="6"/>
  <c r="N58" i="6"/>
  <c r="H58" i="6"/>
  <c r="T58" i="5" s="1"/>
  <c r="G58" i="12" s="1"/>
  <c r="AS58" i="6"/>
  <c r="F58" i="6"/>
  <c r="E58" i="12"/>
  <c r="K59" i="5"/>
  <c r="J59" i="5"/>
  <c r="N59" i="5"/>
  <c r="D59" i="6" s="1"/>
  <c r="H59" i="5"/>
  <c r="A59" i="12"/>
  <c r="F59" i="5"/>
  <c r="E59" i="5"/>
  <c r="D59" i="5"/>
  <c r="B59" i="12" s="1"/>
  <c r="B59" i="6"/>
  <c r="B59" i="5"/>
  <c r="AE59" i="5"/>
  <c r="AD59" i="5"/>
  <c r="G59" i="5"/>
  <c r="AQ58" i="6"/>
  <c r="AR58" i="6"/>
  <c r="AT58" i="6"/>
  <c r="AX58" i="6"/>
  <c r="AU58" i="6"/>
  <c r="AV58" i="6"/>
  <c r="AY58" i="6"/>
  <c r="BB58" i="6"/>
  <c r="AZ58" i="6"/>
  <c r="BA58" i="6"/>
  <c r="AO58" i="6"/>
  <c r="BC58" i="6"/>
  <c r="BF58" i="6"/>
  <c r="AM58" i="6"/>
  <c r="BD58" i="6"/>
  <c r="AN58" i="6"/>
  <c r="N40" i="6"/>
  <c r="N41" i="6"/>
  <c r="N42" i="6"/>
  <c r="N43" i="6"/>
  <c r="N44" i="6"/>
  <c r="N45" i="6"/>
  <c r="N46" i="6"/>
  <c r="N47" i="6"/>
  <c r="N48" i="6"/>
  <c r="N49" i="6"/>
  <c r="E146" i="12"/>
  <c r="F146" i="6"/>
  <c r="N51" i="6"/>
  <c r="N52" i="6"/>
  <c r="N53" i="6"/>
  <c r="H27" i="12"/>
  <c r="C60" i="5" l="1"/>
  <c r="F60" i="5" s="1"/>
  <c r="AJ58" i="6"/>
  <c r="AB58" i="6"/>
  <c r="AD58" i="6"/>
  <c r="AH58" i="6"/>
  <c r="AI58" i="6"/>
  <c r="AF58" i="6"/>
  <c r="AG58" i="6"/>
  <c r="AC58" i="6"/>
  <c r="AK58" i="6"/>
  <c r="AE58" i="6"/>
  <c r="A59" i="6"/>
  <c r="M59" i="6" s="1"/>
  <c r="L59" i="12"/>
  <c r="J59" i="12"/>
  <c r="H59" i="6"/>
  <c r="E60" i="5" l="1"/>
  <c r="D60" i="5"/>
  <c r="B60" i="12" s="1"/>
  <c r="J60" i="5"/>
  <c r="N60" i="5"/>
  <c r="D60" i="6" s="1"/>
  <c r="H60" i="6" s="1"/>
  <c r="T60" i="5" s="1"/>
  <c r="AE60" i="5"/>
  <c r="B60" i="6"/>
  <c r="A60" i="12"/>
  <c r="AD60" i="5"/>
  <c r="K60" i="5"/>
  <c r="C61" i="5"/>
  <c r="B60" i="5"/>
  <c r="G60" i="5"/>
  <c r="H60" i="5"/>
  <c r="K59" i="12"/>
  <c r="T59" i="5"/>
  <c r="G59" i="12" s="1"/>
  <c r="AD59" i="6"/>
  <c r="AI59" i="6"/>
  <c r="AC59" i="6"/>
  <c r="AJ59" i="6"/>
  <c r="AG59" i="6"/>
  <c r="AE59" i="6"/>
  <c r="AK59" i="6"/>
  <c r="AH59" i="6"/>
  <c r="AB59" i="6"/>
  <c r="AF59" i="6"/>
  <c r="AQ59" i="6"/>
  <c r="AT59" i="6"/>
  <c r="BC59" i="6"/>
  <c r="BE59" i="6"/>
  <c r="AN59" i="6"/>
  <c r="AZ59" i="6"/>
  <c r="BG59" i="6"/>
  <c r="AR59" i="6"/>
  <c r="AP59" i="6"/>
  <c r="AS59" i="6"/>
  <c r="BD59" i="6"/>
  <c r="BB59" i="6"/>
  <c r="AX59" i="6"/>
  <c r="AO59" i="6"/>
  <c r="AM59" i="6"/>
  <c r="AU59" i="6"/>
  <c r="AV59" i="6"/>
  <c r="BA59" i="6"/>
  <c r="AY59" i="6"/>
  <c r="BF59" i="6"/>
  <c r="N59" i="6"/>
  <c r="A60" i="6" l="1"/>
  <c r="N60" i="6" s="1"/>
  <c r="F61" i="5"/>
  <c r="AE61" i="5"/>
  <c r="A61" i="12"/>
  <c r="J61" i="5"/>
  <c r="B61" i="6"/>
  <c r="N61" i="5"/>
  <c r="D61" i="6" s="1"/>
  <c r="H61" i="6" s="1"/>
  <c r="T61" i="5" s="1"/>
  <c r="G61" i="12" s="1"/>
  <c r="G61" i="5"/>
  <c r="AD61" i="5"/>
  <c r="B61" i="5"/>
  <c r="C62" i="5" s="1"/>
  <c r="E61" i="5"/>
  <c r="D61" i="5"/>
  <c r="B61" i="12" s="1"/>
  <c r="H61" i="5"/>
  <c r="K61" i="5"/>
  <c r="J60" i="12"/>
  <c r="L60" i="12"/>
  <c r="G60" i="12"/>
  <c r="M60" i="6" l="1"/>
  <c r="BE60" i="6" s="1"/>
  <c r="K60" i="12"/>
  <c r="A61" i="6"/>
  <c r="N61" i="6" s="1"/>
  <c r="J61" i="12"/>
  <c r="L61" i="12"/>
  <c r="W62" i="5"/>
  <c r="H62" i="12" s="1"/>
  <c r="B62" i="6"/>
  <c r="A62" i="6" s="1"/>
  <c r="F62" i="5"/>
  <c r="K58" i="5" s="1"/>
  <c r="N62" i="5"/>
  <c r="D62" i="6" s="1"/>
  <c r="AE62" i="5"/>
  <c r="C63" i="5"/>
  <c r="H62" i="5"/>
  <c r="AD62" i="5"/>
  <c r="B62" i="5"/>
  <c r="E62" i="5"/>
  <c r="G62" i="5"/>
  <c r="A62" i="12"/>
  <c r="AJ60" i="6" l="1"/>
  <c r="AK60" i="6"/>
  <c r="AC60" i="6"/>
  <c r="AQ60" i="6"/>
  <c r="AE60" i="6"/>
  <c r="AO60" i="6"/>
  <c r="AF60" i="6"/>
  <c r="AM60" i="6"/>
  <c r="AV60" i="6"/>
  <c r="AX60" i="6"/>
  <c r="AB60" i="6"/>
  <c r="AD60" i="6"/>
  <c r="AG60" i="6"/>
  <c r="AR60" i="6"/>
  <c r="AP60" i="6"/>
  <c r="BD60" i="6"/>
  <c r="BF60" i="6"/>
  <c r="BG60" i="6"/>
  <c r="AY60" i="6"/>
  <c r="AT60" i="6"/>
  <c r="BB60" i="6"/>
  <c r="AI60" i="6"/>
  <c r="AZ60" i="6"/>
  <c r="BC60" i="6"/>
  <c r="AH60" i="6"/>
  <c r="AS60" i="6"/>
  <c r="BA60" i="6"/>
  <c r="AN60" i="6"/>
  <c r="AU60" i="6"/>
  <c r="M61" i="6"/>
  <c r="BG61" i="6" s="1"/>
  <c r="K61" i="12"/>
  <c r="BG62" i="6"/>
  <c r="N62" i="6"/>
  <c r="AN62" i="6"/>
  <c r="H62" i="6"/>
  <c r="AS62" i="6"/>
  <c r="BC62" i="6"/>
  <c r="AU62" i="6"/>
  <c r="BD62" i="6"/>
  <c r="G62" i="6"/>
  <c r="AV62" i="6"/>
  <c r="AX62" i="6"/>
  <c r="BA62" i="6"/>
  <c r="BB62" i="6"/>
  <c r="AY62" i="6"/>
  <c r="AO62" i="6"/>
  <c r="AM62" i="6"/>
  <c r="AP62" i="6"/>
  <c r="AT62" i="6"/>
  <c r="M62" i="6"/>
  <c r="BE62" i="6" s="1"/>
  <c r="AR62" i="6"/>
  <c r="BF62" i="6"/>
  <c r="AZ62" i="6"/>
  <c r="AQ62" i="6"/>
  <c r="F63" i="5"/>
  <c r="N63" i="5"/>
  <c r="D63" i="6" s="1"/>
  <c r="H63" i="6" s="1"/>
  <c r="T63" i="5" s="1"/>
  <c r="G63" i="12" s="1"/>
  <c r="E63" i="5"/>
  <c r="G63" i="5"/>
  <c r="B63" i="6"/>
  <c r="K63" i="5"/>
  <c r="B63" i="5"/>
  <c r="J63" i="5"/>
  <c r="H63" i="5"/>
  <c r="A63" i="12"/>
  <c r="D63" i="5"/>
  <c r="B63" i="12" s="1"/>
  <c r="AD63" i="5"/>
  <c r="AE63" i="5"/>
  <c r="C64" i="5"/>
  <c r="AO61" i="6" l="1"/>
  <c r="AY61" i="6"/>
  <c r="AR61" i="6"/>
  <c r="AP61" i="6"/>
  <c r="AE61" i="6"/>
  <c r="BE61" i="6"/>
  <c r="AK61" i="6"/>
  <c r="BA61" i="6"/>
  <c r="AF61" i="6"/>
  <c r="AS61" i="6"/>
  <c r="AV61" i="6"/>
  <c r="AJ61" i="6"/>
  <c r="BC61" i="6"/>
  <c r="AQ61" i="6"/>
  <c r="BB61" i="6"/>
  <c r="AM61" i="6"/>
  <c r="BF61" i="6"/>
  <c r="AC61" i="6"/>
  <c r="AD61" i="6"/>
  <c r="AT61" i="6"/>
  <c r="AZ61" i="6"/>
  <c r="AU61" i="6"/>
  <c r="AH61" i="6"/>
  <c r="AN61" i="6"/>
  <c r="AG61" i="6"/>
  <c r="BD61" i="6"/>
  <c r="AX61" i="6"/>
  <c r="AI61" i="6"/>
  <c r="AB61" i="6"/>
  <c r="A63" i="6"/>
  <c r="M63" i="6" s="1"/>
  <c r="AB63" i="6" s="1"/>
  <c r="L63" i="12"/>
  <c r="J63" i="12"/>
  <c r="AD62" i="6"/>
  <c r="AB62" i="6"/>
  <c r="AJ62" i="6"/>
  <c r="AC62" i="6"/>
  <c r="T62" i="5"/>
  <c r="G62" i="12" s="1"/>
  <c r="AG62" i="6"/>
  <c r="AF62" i="6"/>
  <c r="AI62" i="6"/>
  <c r="AE62" i="6"/>
  <c r="AH62" i="6"/>
  <c r="AK62" i="6"/>
  <c r="C65" i="5"/>
  <c r="B64" i="5"/>
  <c r="A64" i="12"/>
  <c r="H64" i="5"/>
  <c r="J64" i="5"/>
  <c r="F64" i="5"/>
  <c r="N64" i="5"/>
  <c r="D64" i="6" s="1"/>
  <c r="H64" i="6" s="1"/>
  <c r="T64" i="5" s="1"/>
  <c r="G64" i="12" s="1"/>
  <c r="G64" i="5"/>
  <c r="K64" i="5"/>
  <c r="E64" i="5"/>
  <c r="AE64" i="5"/>
  <c r="AD64" i="5"/>
  <c r="D64" i="5"/>
  <c r="B64" i="12" s="1"/>
  <c r="B64" i="6"/>
  <c r="AI63" i="6" l="1"/>
  <c r="AV63" i="6"/>
  <c r="BG63" i="6"/>
  <c r="BF63" i="6"/>
  <c r="AD63" i="6"/>
  <c r="AT63" i="6"/>
  <c r="AU63" i="6"/>
  <c r="AY63" i="6"/>
  <c r="AR63" i="6"/>
  <c r="AF63" i="6"/>
  <c r="BD63" i="6"/>
  <c r="AZ63" i="6"/>
  <c r="AS63" i="6"/>
  <c r="AG63" i="6"/>
  <c r="AK63" i="6"/>
  <c r="AJ63" i="6"/>
  <c r="AE63" i="6"/>
  <c r="AO63" i="6"/>
  <c r="BA63" i="6"/>
  <c r="BE63" i="6"/>
  <c r="AX63" i="6"/>
  <c r="AP63" i="6"/>
  <c r="AH63" i="6"/>
  <c r="AM63" i="6"/>
  <c r="AC63" i="6"/>
  <c r="BB63" i="6"/>
  <c r="AQ63" i="6"/>
  <c r="BC63" i="6"/>
  <c r="AN63" i="6"/>
  <c r="N63" i="6"/>
  <c r="K63" i="12"/>
  <c r="A64" i="6"/>
  <c r="J64" i="12"/>
  <c r="L64" i="12"/>
  <c r="AE65" i="5"/>
  <c r="K65" i="5"/>
  <c r="J65" i="5"/>
  <c r="A65" i="12"/>
  <c r="H65" i="5"/>
  <c r="G65" i="5"/>
  <c r="E65" i="5"/>
  <c r="N65" i="5"/>
  <c r="D65" i="6" s="1"/>
  <c r="H65" i="6" s="1"/>
  <c r="T65" i="5" s="1"/>
  <c r="G65" i="12" s="1"/>
  <c r="AD65" i="5"/>
  <c r="F65" i="5"/>
  <c r="B65" i="6"/>
  <c r="B65" i="5"/>
  <c r="D65" i="5"/>
  <c r="B65" i="12" s="1"/>
  <c r="A65" i="6" l="1"/>
  <c r="M65" i="6" s="1"/>
  <c r="BA65" i="6" s="1"/>
  <c r="K64" i="12"/>
  <c r="N64" i="6"/>
  <c r="M64" i="6"/>
  <c r="C66" i="5"/>
  <c r="L65" i="12"/>
  <c r="J65" i="12"/>
  <c r="AO65" i="6" l="1"/>
  <c r="BG65" i="6"/>
  <c r="N65" i="6"/>
  <c r="AG65" i="6"/>
  <c r="AP65" i="6"/>
  <c r="BF65" i="6"/>
  <c r="AN65" i="6"/>
  <c r="AF65" i="6"/>
  <c r="AE65" i="6"/>
  <c r="AJ65" i="6"/>
  <c r="AV65" i="6"/>
  <c r="AY65" i="6"/>
  <c r="AH65" i="6"/>
  <c r="AZ65" i="6"/>
  <c r="AI65" i="6"/>
  <c r="AX65" i="6"/>
  <c r="AR65" i="6"/>
  <c r="AC65" i="6"/>
  <c r="AB65" i="6"/>
  <c r="BE65" i="6"/>
  <c r="AT65" i="6"/>
  <c r="AD65" i="6"/>
  <c r="BC65" i="6"/>
  <c r="AU65" i="6"/>
  <c r="BD65" i="6"/>
  <c r="AK65" i="6"/>
  <c r="AS65" i="6"/>
  <c r="AM65" i="6"/>
  <c r="AQ65" i="6"/>
  <c r="BB65" i="6"/>
  <c r="AM64" i="6"/>
  <c r="AO64" i="6"/>
  <c r="AB64" i="6"/>
  <c r="AU64" i="6"/>
  <c r="BD64" i="6"/>
  <c r="BC64" i="6"/>
  <c r="AE64" i="6"/>
  <c r="AR64" i="6"/>
  <c r="AG64" i="6"/>
  <c r="AH64" i="6"/>
  <c r="AK64" i="6"/>
  <c r="BB64" i="6"/>
  <c r="AI64" i="6"/>
  <c r="AC64" i="6"/>
  <c r="AX64" i="6"/>
  <c r="AV64" i="6"/>
  <c r="BF64" i="6"/>
  <c r="BA64" i="6"/>
  <c r="AN64" i="6"/>
  <c r="BG64" i="6"/>
  <c r="AF64" i="6"/>
  <c r="BE64" i="6"/>
  <c r="AD64" i="6"/>
  <c r="AP64" i="6"/>
  <c r="AZ64" i="6"/>
  <c r="AQ64" i="6"/>
  <c r="AS64" i="6"/>
  <c r="AJ64" i="6"/>
  <c r="AT64" i="6"/>
  <c r="AY64" i="6"/>
  <c r="K65" i="12"/>
  <c r="F66" i="5"/>
  <c r="D66" i="5"/>
  <c r="B66" i="12" s="1"/>
  <c r="H66" i="5"/>
  <c r="AD66" i="5"/>
  <c r="AE66" i="5"/>
  <c r="N66" i="5"/>
  <c r="D66" i="6" s="1"/>
  <c r="H66" i="6" s="1"/>
  <c r="T66" i="5" s="1"/>
  <c r="G66" i="12" s="1"/>
  <c r="K66" i="5"/>
  <c r="A66" i="12"/>
  <c r="E66" i="5"/>
  <c r="B66" i="6"/>
  <c r="J66" i="5"/>
  <c r="G66" i="5"/>
  <c r="B66" i="5"/>
  <c r="C67" i="5" l="1"/>
  <c r="F67" i="5" s="1"/>
  <c r="J66" i="12"/>
  <c r="L66" i="12"/>
  <c r="AF67" i="5"/>
  <c r="S67" i="5" l="1"/>
  <c r="F67" i="12" s="1"/>
  <c r="AG67" i="5"/>
  <c r="U67" i="5" s="1"/>
  <c r="AN67" i="5" s="1"/>
  <c r="G67" i="5"/>
  <c r="AD67" i="5"/>
  <c r="AE67" i="5"/>
  <c r="C68" i="5"/>
  <c r="N67" i="5"/>
  <c r="D67" i="6" s="1"/>
  <c r="H67" i="6" s="1"/>
  <c r="T67" i="5" s="1"/>
  <c r="A67" i="12"/>
  <c r="W67" i="5"/>
  <c r="H67" i="12" s="1"/>
  <c r="B67" i="6"/>
  <c r="B67" i="5"/>
  <c r="H67" i="5"/>
  <c r="E67" i="5"/>
  <c r="A66" i="6"/>
  <c r="K66" i="12"/>
  <c r="I51" i="5"/>
  <c r="G67" i="6" l="1"/>
  <c r="A67" i="6"/>
  <c r="M67" i="6"/>
  <c r="AZ67" i="6" s="1"/>
  <c r="E67" i="12"/>
  <c r="F67" i="6"/>
  <c r="A68" i="12"/>
  <c r="C69" i="5"/>
  <c r="B68" i="6"/>
  <c r="K68" i="5"/>
  <c r="J68" i="5"/>
  <c r="AE68" i="5"/>
  <c r="AD68" i="5"/>
  <c r="G68" i="5"/>
  <c r="F68" i="5"/>
  <c r="N68" i="5"/>
  <c r="D68" i="6" s="1"/>
  <c r="H68" i="6" s="1"/>
  <c r="T68" i="5" s="1"/>
  <c r="H68" i="5"/>
  <c r="D68" i="5"/>
  <c r="B68" i="12" s="1"/>
  <c r="B68" i="5"/>
  <c r="E68" i="5"/>
  <c r="N67" i="6"/>
  <c r="AS67" i="6"/>
  <c r="AY67" i="6"/>
  <c r="AX67" i="6"/>
  <c r="BA67" i="6"/>
  <c r="BG67" i="6"/>
  <c r="BB67" i="6"/>
  <c r="BF67" i="6"/>
  <c r="AM67" i="6"/>
  <c r="BD67" i="6"/>
  <c r="AN67" i="6"/>
  <c r="BE67" i="6"/>
  <c r="AQ67" i="6"/>
  <c r="AR67" i="6"/>
  <c r="AT67" i="6"/>
  <c r="AJ67" i="6"/>
  <c r="AP67" i="6"/>
  <c r="BC67" i="6"/>
  <c r="AO67" i="6"/>
  <c r="AD67" i="6"/>
  <c r="AU67" i="6"/>
  <c r="AV67" i="6"/>
  <c r="G67" i="12"/>
  <c r="N66" i="6"/>
  <c r="M66" i="6"/>
  <c r="AP66" i="6" s="1"/>
  <c r="AG67" i="6" l="1"/>
  <c r="AK67" i="6"/>
  <c r="AH67" i="6"/>
  <c r="AF67" i="6"/>
  <c r="AI67" i="6"/>
  <c r="AC67" i="6"/>
  <c r="AE67" i="6"/>
  <c r="AB67" i="6"/>
  <c r="A68" i="6"/>
  <c r="N68" i="6" s="1"/>
  <c r="H69" i="5"/>
  <c r="K69" i="5"/>
  <c r="F69" i="5"/>
  <c r="D69" i="5"/>
  <c r="B69" i="12" s="1"/>
  <c r="G69" i="5"/>
  <c r="J69" i="5"/>
  <c r="AD69" i="5"/>
  <c r="E69" i="5"/>
  <c r="B69" i="6"/>
  <c r="A69" i="12"/>
  <c r="N69" i="5"/>
  <c r="D69" i="6" s="1"/>
  <c r="H69" i="6" s="1"/>
  <c r="T69" i="5" s="1"/>
  <c r="B69" i="5"/>
  <c r="C70" i="5" s="1"/>
  <c r="W70" i="5" s="1"/>
  <c r="H70" i="12" s="1"/>
  <c r="AE69" i="5"/>
  <c r="L68" i="12"/>
  <c r="J68" i="12"/>
  <c r="G68" i="12"/>
  <c r="BD66" i="6"/>
  <c r="AT66" i="6"/>
  <c r="AH66" i="6"/>
  <c r="AN66" i="6"/>
  <c r="AX66" i="6"/>
  <c r="AV66" i="6"/>
  <c r="AD66" i="6"/>
  <c r="AQ66" i="6"/>
  <c r="AI66" i="6"/>
  <c r="AU66" i="6"/>
  <c r="BF66" i="6"/>
  <c r="AY66" i="6"/>
  <c r="BA66" i="6"/>
  <c r="AS66" i="6"/>
  <c r="AC66" i="6"/>
  <c r="BC66" i="6"/>
  <c r="AE66" i="6"/>
  <c r="BE66" i="6"/>
  <c r="AO66" i="6"/>
  <c r="AR66" i="6"/>
  <c r="AZ66" i="6"/>
  <c r="AK66" i="6"/>
  <c r="AJ66" i="6"/>
  <c r="AF66" i="6"/>
  <c r="BG66" i="6"/>
  <c r="AG66" i="6"/>
  <c r="BB66" i="6"/>
  <c r="AB66" i="6"/>
  <c r="AM66" i="6"/>
  <c r="M68" i="6" l="1"/>
  <c r="K68" i="12"/>
  <c r="A69" i="6"/>
  <c r="N69" i="6" s="1"/>
  <c r="L69" i="12"/>
  <c r="J69" i="12"/>
  <c r="G69" i="12"/>
  <c r="G70" i="5"/>
  <c r="AE70" i="5"/>
  <c r="I70" i="5"/>
  <c r="B70" i="5"/>
  <c r="E70" i="5"/>
  <c r="F70" i="5"/>
  <c r="C71" i="5"/>
  <c r="C72" i="5" s="1"/>
  <c r="A70" i="12"/>
  <c r="B70" i="6"/>
  <c r="A70" i="6" s="1"/>
  <c r="N70" i="5"/>
  <c r="D70" i="6" s="1"/>
  <c r="M70" i="6" s="1"/>
  <c r="AD70" i="5"/>
  <c r="H70" i="5"/>
  <c r="I62" i="5"/>
  <c r="K69" i="12" l="1"/>
  <c r="M69" i="6"/>
  <c r="AH69" i="6" s="1"/>
  <c r="BA68" i="6"/>
  <c r="AB68" i="6"/>
  <c r="BF68" i="6"/>
  <c r="BE68" i="6"/>
  <c r="AP68" i="6"/>
  <c r="BG68" i="6"/>
  <c r="AU68" i="6"/>
  <c r="BB68" i="6"/>
  <c r="AH68" i="6"/>
  <c r="AM68" i="6"/>
  <c r="AQ68" i="6"/>
  <c r="AT68" i="6"/>
  <c r="BC68" i="6"/>
  <c r="AE68" i="6"/>
  <c r="AC68" i="6"/>
  <c r="AZ68" i="6"/>
  <c r="BD68" i="6"/>
  <c r="AR68" i="6"/>
  <c r="AF68" i="6"/>
  <c r="AO68" i="6"/>
  <c r="AV68" i="6"/>
  <c r="AG68" i="6"/>
  <c r="AI68" i="6"/>
  <c r="AK68" i="6"/>
  <c r="AN68" i="6"/>
  <c r="AJ68" i="6"/>
  <c r="AS68" i="6"/>
  <c r="AD68" i="6"/>
  <c r="AY68" i="6"/>
  <c r="AX68" i="6"/>
  <c r="J67" i="5"/>
  <c r="G71" i="5"/>
  <c r="G72" i="5" s="1"/>
  <c r="BD70" i="6"/>
  <c r="AE71" i="5"/>
  <c r="F71" i="5"/>
  <c r="F72" i="5" s="1"/>
  <c r="AD71" i="5"/>
  <c r="B71" i="6"/>
  <c r="A71" i="6" s="1"/>
  <c r="N71" i="5"/>
  <c r="D71" i="6" s="1"/>
  <c r="AV71" i="6" s="1"/>
  <c r="A71" i="12"/>
  <c r="B71" i="5"/>
  <c r="B72" i="5" s="1"/>
  <c r="BA70" i="6"/>
  <c r="AQ70" i="6"/>
  <c r="BB70" i="6"/>
  <c r="H70" i="6"/>
  <c r="AE70" i="6" s="1"/>
  <c r="BC70" i="6"/>
  <c r="BF70" i="6"/>
  <c r="BE70" i="6"/>
  <c r="BG70" i="6"/>
  <c r="G70" i="6"/>
  <c r="AZ70" i="6"/>
  <c r="N70" i="6"/>
  <c r="AN70" i="6"/>
  <c r="AR70" i="6"/>
  <c r="AX70" i="6"/>
  <c r="AT70" i="6"/>
  <c r="AM70" i="6"/>
  <c r="AY70" i="6"/>
  <c r="AS70" i="6"/>
  <c r="AO70" i="6"/>
  <c r="AP70" i="6"/>
  <c r="AU70" i="6"/>
  <c r="AV70" i="6"/>
  <c r="H71" i="5"/>
  <c r="H72" i="5" s="1"/>
  <c r="E71" i="5"/>
  <c r="E72" i="5" s="1"/>
  <c r="AD72" i="5"/>
  <c r="B72" i="6"/>
  <c r="N72" i="5"/>
  <c r="D72" i="6" s="1"/>
  <c r="H72" i="6" s="1"/>
  <c r="T72" i="5" s="1"/>
  <c r="G72" i="12" s="1"/>
  <c r="C73" i="5"/>
  <c r="K72" i="5"/>
  <c r="A72" i="12"/>
  <c r="J72" i="5"/>
  <c r="D72" i="5"/>
  <c r="B72" i="12" s="1"/>
  <c r="AE72" i="5"/>
  <c r="AE69" i="6" l="1"/>
  <c r="AX69" i="6"/>
  <c r="AG69" i="6"/>
  <c r="BA69" i="6"/>
  <c r="AM69" i="6"/>
  <c r="AF69" i="6"/>
  <c r="AO69" i="6"/>
  <c r="AS69" i="6"/>
  <c r="AB69" i="6"/>
  <c r="AN69" i="6"/>
  <c r="AJ69" i="6"/>
  <c r="AQ69" i="6"/>
  <c r="AY69" i="6"/>
  <c r="BF69" i="6"/>
  <c r="AP69" i="6"/>
  <c r="BE69" i="6"/>
  <c r="AK69" i="6"/>
  <c r="AR69" i="6"/>
  <c r="AU69" i="6"/>
  <c r="AZ69" i="6"/>
  <c r="BG69" i="6"/>
  <c r="AD69" i="6"/>
  <c r="AT69" i="6"/>
  <c r="BB69" i="6"/>
  <c r="AV69" i="6"/>
  <c r="BC69" i="6"/>
  <c r="AC69" i="6"/>
  <c r="BD69" i="6"/>
  <c r="AI69" i="6"/>
  <c r="BE71" i="6"/>
  <c r="AN71" i="6"/>
  <c r="BA71" i="6"/>
  <c r="AI70" i="6"/>
  <c r="AG70" i="6"/>
  <c r="BF71" i="6"/>
  <c r="BG71" i="6"/>
  <c r="BB71" i="6"/>
  <c r="AQ71" i="6"/>
  <c r="AR71" i="6"/>
  <c r="AJ70" i="6"/>
  <c r="BC71" i="6"/>
  <c r="AO71" i="6"/>
  <c r="AC70" i="6"/>
  <c r="AK70" i="6"/>
  <c r="AY71" i="6"/>
  <c r="AU71" i="6"/>
  <c r="H71" i="6"/>
  <c r="AS71" i="6"/>
  <c r="M71" i="6"/>
  <c r="AT71" i="6"/>
  <c r="BD71" i="6"/>
  <c r="N71" i="6"/>
  <c r="AM71" i="6"/>
  <c r="AX71" i="6"/>
  <c r="AZ71" i="6"/>
  <c r="AP71" i="6"/>
  <c r="AF70" i="6"/>
  <c r="T70" i="5"/>
  <c r="G70" i="12" s="1"/>
  <c r="AD70" i="6"/>
  <c r="AB70" i="6"/>
  <c r="AH70" i="6"/>
  <c r="J72" i="12"/>
  <c r="L72" i="12"/>
  <c r="A72" i="6"/>
  <c r="D73" i="5"/>
  <c r="B73" i="12" s="1"/>
  <c r="AE73" i="5"/>
  <c r="A73" i="12"/>
  <c r="H73" i="5"/>
  <c r="B73" i="5"/>
  <c r="F73" i="5"/>
  <c r="C74" i="5"/>
  <c r="B73" i="6"/>
  <c r="K73" i="5"/>
  <c r="J73" i="5"/>
  <c r="E73" i="5"/>
  <c r="N73" i="5"/>
  <c r="D73" i="6" s="1"/>
  <c r="H73" i="6" s="1"/>
  <c r="T73" i="5" s="1"/>
  <c r="G73" i="12" s="1"/>
  <c r="G73" i="5"/>
  <c r="AD73" i="5"/>
  <c r="I27" i="5"/>
  <c r="I28" i="5" s="1"/>
  <c r="M72" i="6" l="1"/>
  <c r="AM72" i="6" s="1"/>
  <c r="AI71" i="6"/>
  <c r="AH71" i="6"/>
  <c r="AC71" i="6"/>
  <c r="AF71" i="6"/>
  <c r="AJ71" i="6"/>
  <c r="AK71" i="6"/>
  <c r="AE71" i="6"/>
  <c r="T71" i="5"/>
  <c r="G71" i="12" s="1"/>
  <c r="AD71" i="6"/>
  <c r="AG71" i="6"/>
  <c r="AB71" i="6"/>
  <c r="K72" i="12"/>
  <c r="A73" i="6"/>
  <c r="B74" i="5"/>
  <c r="A74" i="12"/>
  <c r="H74" i="5"/>
  <c r="N74" i="5"/>
  <c r="D74" i="6" s="1"/>
  <c r="H74" i="6" s="1"/>
  <c r="T74" i="5" s="1"/>
  <c r="G74" i="12" s="1"/>
  <c r="F74" i="5"/>
  <c r="K74" i="5"/>
  <c r="G74" i="5"/>
  <c r="D74" i="5"/>
  <c r="B74" i="12" s="1"/>
  <c r="AE74" i="5"/>
  <c r="E74" i="5"/>
  <c r="C75" i="5"/>
  <c r="J74" i="5"/>
  <c r="B74" i="6"/>
  <c r="AD74" i="5"/>
  <c r="L73" i="12"/>
  <c r="J73" i="12"/>
  <c r="BC72" i="6" l="1"/>
  <c r="AP72" i="6"/>
  <c r="BD72" i="6"/>
  <c r="AB72" i="6"/>
  <c r="M73" i="6"/>
  <c r="AU73" i="6" s="1"/>
  <c r="BG72" i="6"/>
  <c r="AQ72" i="6"/>
  <c r="BA72" i="6"/>
  <c r="BB72" i="6"/>
  <c r="AY72" i="6"/>
  <c r="AN72" i="6"/>
  <c r="AK72" i="6"/>
  <c r="AV72" i="6"/>
  <c r="AT72" i="6"/>
  <c r="BF72" i="6"/>
  <c r="AZ72" i="6"/>
  <c r="AH72" i="6"/>
  <c r="AR72" i="6"/>
  <c r="AI72" i="6"/>
  <c r="AG72" i="6"/>
  <c r="AF72" i="6"/>
  <c r="AO72" i="6"/>
  <c r="AX72" i="6"/>
  <c r="BE72" i="6"/>
  <c r="AS72" i="6"/>
  <c r="AC72" i="6"/>
  <c r="AU72" i="6"/>
  <c r="AJ72" i="6"/>
  <c r="AD72" i="6"/>
  <c r="AE72" i="6"/>
  <c r="K73" i="12"/>
  <c r="J75" i="5"/>
  <c r="H75" i="5"/>
  <c r="AD75" i="5"/>
  <c r="A75" i="12"/>
  <c r="N75" i="5"/>
  <c r="D75" i="6" s="1"/>
  <c r="H75" i="6" s="1"/>
  <c r="T75" i="5" s="1"/>
  <c r="G75" i="12" s="1"/>
  <c r="K75" i="5"/>
  <c r="C76" i="5"/>
  <c r="B75" i="6"/>
  <c r="B75" i="5"/>
  <c r="F75" i="5"/>
  <c r="E75" i="5"/>
  <c r="D75" i="5"/>
  <c r="B75" i="12" s="1"/>
  <c r="G75" i="5"/>
  <c r="AE75" i="5"/>
  <c r="L74" i="12"/>
  <c r="J74" i="12"/>
  <c r="A74" i="6"/>
  <c r="M74" i="6" s="1"/>
  <c r="AT73" i="6" l="1"/>
  <c r="BG73" i="6"/>
  <c r="BD73" i="6"/>
  <c r="BB73" i="6"/>
  <c r="AQ73" i="6"/>
  <c r="BE73" i="6"/>
  <c r="AH73" i="6"/>
  <c r="AB73" i="6"/>
  <c r="AF73" i="6"/>
  <c r="AC73" i="6"/>
  <c r="AJ73" i="6"/>
  <c r="AX73" i="6"/>
  <c r="AK73" i="6"/>
  <c r="AZ73" i="6"/>
  <c r="AI73" i="6"/>
  <c r="AM73" i="6"/>
  <c r="AD73" i="6"/>
  <c r="AY73" i="6"/>
  <c r="BC73" i="6"/>
  <c r="AR73" i="6"/>
  <c r="AN73" i="6"/>
  <c r="AE73" i="6"/>
  <c r="BF73" i="6"/>
  <c r="AV73" i="6"/>
  <c r="AP73" i="6"/>
  <c r="AS73" i="6"/>
  <c r="BA73" i="6"/>
  <c r="AO73" i="6"/>
  <c r="AG73" i="6"/>
  <c r="AS74" i="6"/>
  <c r="BF74" i="6"/>
  <c r="AJ74" i="6"/>
  <c r="BC74" i="6"/>
  <c r="AB74" i="6"/>
  <c r="AR74" i="6"/>
  <c r="BD74" i="6"/>
  <c r="AX74" i="6"/>
  <c r="AG74" i="6"/>
  <c r="AQ74" i="6"/>
  <c r="AM74" i="6"/>
  <c r="AN74" i="6"/>
  <c r="AP74" i="6"/>
  <c r="AD74" i="6"/>
  <c r="BB74" i="6"/>
  <c r="AT74" i="6"/>
  <c r="AZ74" i="6"/>
  <c r="BG74" i="6"/>
  <c r="AI74" i="6"/>
  <c r="AO74" i="6"/>
  <c r="AH74" i="6"/>
  <c r="AC74" i="6"/>
  <c r="AY74" i="6"/>
  <c r="AK74" i="6"/>
  <c r="AU74" i="6"/>
  <c r="AF74" i="6"/>
  <c r="AV74" i="6"/>
  <c r="BA74" i="6"/>
  <c r="BE74" i="6"/>
  <c r="K74" i="12"/>
  <c r="A75" i="6"/>
  <c r="M75" i="6" s="1"/>
  <c r="J75" i="12"/>
  <c r="L75" i="12"/>
  <c r="AE74" i="6"/>
  <c r="AD76" i="5"/>
  <c r="D76" i="5"/>
  <c r="B76" i="12" s="1"/>
  <c r="G76" i="5"/>
  <c r="E76" i="5"/>
  <c r="F76" i="5"/>
  <c r="H76" i="5"/>
  <c r="B76" i="6"/>
  <c r="N76" i="5"/>
  <c r="D76" i="6" s="1"/>
  <c r="H76" i="6" s="1"/>
  <c r="T76" i="5" s="1"/>
  <c r="G76" i="12" s="1"/>
  <c r="J76" i="5"/>
  <c r="A76" i="12"/>
  <c r="B76" i="5"/>
  <c r="C77" i="5" s="1"/>
  <c r="H77" i="5" s="1"/>
  <c r="AE76" i="5"/>
  <c r="K76" i="5"/>
  <c r="C78" i="5" l="1"/>
  <c r="N78" i="5" s="1"/>
  <c r="D78" i="6" s="1"/>
  <c r="H78" i="6" s="1"/>
  <c r="T78" i="5" s="1"/>
  <c r="G78" i="12" s="1"/>
  <c r="A76" i="6"/>
  <c r="M76" i="6" s="1"/>
  <c r="AC76" i="6" s="1"/>
  <c r="K75" i="12"/>
  <c r="W77" i="5"/>
  <c r="H77" i="12" s="1"/>
  <c r="B77" i="5"/>
  <c r="B78" i="5" s="1"/>
  <c r="A77" i="12"/>
  <c r="AD77" i="5"/>
  <c r="G77" i="5"/>
  <c r="AE77" i="5"/>
  <c r="E77" i="5"/>
  <c r="J76" i="12"/>
  <c r="L76" i="12"/>
  <c r="BG75" i="6"/>
  <c r="BD75" i="6"/>
  <c r="BA75" i="6"/>
  <c r="AQ75" i="6"/>
  <c r="AX75" i="6"/>
  <c r="AN75" i="6"/>
  <c r="BC75" i="6"/>
  <c r="AD75" i="6"/>
  <c r="AI75" i="6"/>
  <c r="AU75" i="6"/>
  <c r="AZ75" i="6"/>
  <c r="AM75" i="6"/>
  <c r="AK75" i="6"/>
  <c r="AO75" i="6"/>
  <c r="AY75" i="6"/>
  <c r="AT75" i="6"/>
  <c r="AV75" i="6"/>
  <c r="AB75" i="6"/>
  <c r="BB75" i="6"/>
  <c r="BF75" i="6"/>
  <c r="AS75" i="6"/>
  <c r="AE75" i="6"/>
  <c r="BE75" i="6"/>
  <c r="AG75" i="6"/>
  <c r="AP75" i="6"/>
  <c r="AR75" i="6"/>
  <c r="AH75" i="6"/>
  <c r="AJ75" i="6"/>
  <c r="AC75" i="6"/>
  <c r="AF75" i="6"/>
  <c r="F77" i="5"/>
  <c r="B77" i="6"/>
  <c r="A77" i="6" s="1"/>
  <c r="N77" i="5"/>
  <c r="D77" i="6" s="1"/>
  <c r="M77" i="6" s="1"/>
  <c r="AR77" i="6" s="1"/>
  <c r="D78" i="5"/>
  <c r="B78" i="12" s="1"/>
  <c r="AE78" i="5"/>
  <c r="F77" i="6"/>
  <c r="E77" i="12"/>
  <c r="F80" i="6"/>
  <c r="E80" i="12"/>
  <c r="B78" i="6" l="1"/>
  <c r="G78" i="5"/>
  <c r="J78" i="5"/>
  <c r="K78" i="5"/>
  <c r="A78" i="12"/>
  <c r="H78" i="5"/>
  <c r="F78" i="5"/>
  <c r="AD78" i="5"/>
  <c r="C79" i="5"/>
  <c r="E78" i="5"/>
  <c r="AE76" i="6"/>
  <c r="AT76" i="6"/>
  <c r="BB76" i="6"/>
  <c r="AD76" i="6"/>
  <c r="AF76" i="6"/>
  <c r="AR76" i="6"/>
  <c r="AG76" i="6"/>
  <c r="AP76" i="6"/>
  <c r="AO76" i="6"/>
  <c r="BD76" i="6"/>
  <c r="AN76" i="6"/>
  <c r="AB76" i="6"/>
  <c r="BE76" i="6"/>
  <c r="BF76" i="6"/>
  <c r="BC76" i="6"/>
  <c r="AH76" i="6"/>
  <c r="AK76" i="6"/>
  <c r="AZ76" i="6"/>
  <c r="AS76" i="6"/>
  <c r="BA76" i="6"/>
  <c r="AQ76" i="6"/>
  <c r="BG76" i="6"/>
  <c r="AI76" i="6"/>
  <c r="AJ76" i="6"/>
  <c r="AU76" i="6"/>
  <c r="AM76" i="6"/>
  <c r="AV76" i="6"/>
  <c r="AX76" i="6"/>
  <c r="AY76" i="6"/>
  <c r="K76" i="12"/>
  <c r="BD77" i="6"/>
  <c r="AS77" i="6"/>
  <c r="AX77" i="6"/>
  <c r="BA77" i="6"/>
  <c r="BE77" i="6"/>
  <c r="BG77" i="6"/>
  <c r="BF77" i="6"/>
  <c r="AU77" i="6"/>
  <c r="AQ77" i="6"/>
  <c r="AM77" i="6"/>
  <c r="BC77" i="6"/>
  <c r="AV77" i="6"/>
  <c r="AO77" i="6"/>
  <c r="AN77" i="6"/>
  <c r="AP77" i="6"/>
  <c r="AZ77" i="6"/>
  <c r="BB77" i="6"/>
  <c r="AY77" i="6"/>
  <c r="AT77" i="6"/>
  <c r="H77" i="6"/>
  <c r="AF77" i="6" s="1"/>
  <c r="G77" i="6"/>
  <c r="A78" i="6"/>
  <c r="M78" i="6" s="1"/>
  <c r="AV78" i="6" s="1"/>
  <c r="L78" i="12"/>
  <c r="J78" i="12"/>
  <c r="AD79" i="5"/>
  <c r="J79" i="5"/>
  <c r="AE79" i="5"/>
  <c r="H79" i="5"/>
  <c r="K79" i="5"/>
  <c r="N79" i="5"/>
  <c r="D79" i="6" s="1"/>
  <c r="H79" i="6" s="1"/>
  <c r="T79" i="5" s="1"/>
  <c r="G79" i="12" s="1"/>
  <c r="D79" i="5"/>
  <c r="B79" i="12" s="1"/>
  <c r="B79" i="5"/>
  <c r="C80" i="5" s="1"/>
  <c r="B79" i="6"/>
  <c r="E79" i="5"/>
  <c r="A79" i="12"/>
  <c r="G79" i="5" l="1"/>
  <c r="F79" i="5"/>
  <c r="AJ77" i="6"/>
  <c r="AB77" i="6"/>
  <c r="AD77" i="6"/>
  <c r="AC77" i="6"/>
  <c r="AK77" i="6"/>
  <c r="AI77" i="6"/>
  <c r="T77" i="5"/>
  <c r="G77" i="12" s="1"/>
  <c r="AG77" i="6"/>
  <c r="AH77" i="6"/>
  <c r="AE77" i="6"/>
  <c r="AO78" i="6"/>
  <c r="AJ78" i="6"/>
  <c r="AI78" i="6"/>
  <c r="AK78" i="6"/>
  <c r="AE78" i="6"/>
  <c r="AC78" i="6"/>
  <c r="AU78" i="6"/>
  <c r="AB78" i="6"/>
  <c r="BG78" i="6"/>
  <c r="AH78" i="6"/>
  <c r="AD78" i="6"/>
  <c r="AQ78" i="6"/>
  <c r="BB78" i="6"/>
  <c r="AM78" i="6"/>
  <c r="AF78" i="6"/>
  <c r="AP78" i="6"/>
  <c r="BE78" i="6"/>
  <c r="AG78" i="6"/>
  <c r="AR78" i="6"/>
  <c r="AN78" i="6"/>
  <c r="AX78" i="6"/>
  <c r="BA78" i="6"/>
  <c r="BD78" i="6"/>
  <c r="AZ78" i="6"/>
  <c r="AT78" i="6"/>
  <c r="BC78" i="6"/>
  <c r="AY78" i="6"/>
  <c r="AS78" i="6"/>
  <c r="BF78" i="6"/>
  <c r="N80" i="5"/>
  <c r="D80" i="6" s="1"/>
  <c r="W80" i="5"/>
  <c r="H80" i="12" s="1"/>
  <c r="A80" i="12"/>
  <c r="H80" i="5"/>
  <c r="E80" i="5"/>
  <c r="G80" i="5"/>
  <c r="B80" i="5"/>
  <c r="B80" i="6"/>
  <c r="A80" i="6" s="1"/>
  <c r="AD80" i="5"/>
  <c r="F80" i="5"/>
  <c r="J77" i="5" s="1"/>
  <c r="AE80" i="5"/>
  <c r="C81" i="5"/>
  <c r="J79" i="12"/>
  <c r="L79" i="12"/>
  <c r="K78" i="12"/>
  <c r="A79" i="6"/>
  <c r="M79" i="6" s="1"/>
  <c r="AV79" i="6" s="1"/>
  <c r="AD14" i="13"/>
  <c r="AG14" i="13"/>
  <c r="AE79" i="6" l="1"/>
  <c r="BD79" i="6"/>
  <c r="AO79" i="6"/>
  <c r="AG79" i="6"/>
  <c r="AI79" i="6"/>
  <c r="AT79" i="6"/>
  <c r="AU79" i="6"/>
  <c r="BB79" i="6"/>
  <c r="AM79" i="6"/>
  <c r="AS79" i="6"/>
  <c r="BC79" i="6"/>
  <c r="BF79" i="6"/>
  <c r="AH79" i="6"/>
  <c r="M80" i="6"/>
  <c r="AX80" i="6"/>
  <c r="AQ80" i="6"/>
  <c r="AM80" i="6"/>
  <c r="AT80" i="6"/>
  <c r="AN80" i="6"/>
  <c r="AS80" i="6"/>
  <c r="BB80" i="6"/>
  <c r="AU80" i="6"/>
  <c r="BF80" i="6"/>
  <c r="AZ80" i="6"/>
  <c r="BG80" i="6"/>
  <c r="H80" i="6"/>
  <c r="T80" i="5" s="1"/>
  <c r="G80" i="12" s="1"/>
  <c r="G80" i="6"/>
  <c r="BE80" i="6"/>
  <c r="AR80" i="6"/>
  <c r="AY80" i="6"/>
  <c r="AV80" i="6"/>
  <c r="BC80" i="6"/>
  <c r="BA80" i="6"/>
  <c r="BD80" i="6"/>
  <c r="AO80" i="6"/>
  <c r="AP80" i="6"/>
  <c r="AJ79" i="6"/>
  <c r="BE79" i="6"/>
  <c r="AB79" i="6"/>
  <c r="AF79" i="6"/>
  <c r="AK79" i="6"/>
  <c r="AE81" i="5"/>
  <c r="H81" i="5"/>
  <c r="F81" i="5"/>
  <c r="AD81" i="5"/>
  <c r="B81" i="6"/>
  <c r="A81" i="6" s="1"/>
  <c r="E81" i="5"/>
  <c r="C82" i="5"/>
  <c r="G81" i="5"/>
  <c r="W81" i="5"/>
  <c r="H81" i="12" s="1"/>
  <c r="A81" i="12"/>
  <c r="N81" i="5"/>
  <c r="D81" i="6" s="1"/>
  <c r="B81" i="5"/>
  <c r="AD79" i="6"/>
  <c r="AR79" i="6"/>
  <c r="BG79" i="6"/>
  <c r="AY79" i="6"/>
  <c r="AQ79" i="6"/>
  <c r="AN79" i="6"/>
  <c r="AP79" i="6"/>
  <c r="BA79" i="6"/>
  <c r="AZ79" i="6"/>
  <c r="AC79" i="6"/>
  <c r="AX79" i="6"/>
  <c r="K79" i="12"/>
  <c r="AX81" i="6" l="1"/>
  <c r="BG81" i="6"/>
  <c r="M81" i="6"/>
  <c r="AO81" i="6"/>
  <c r="BC81" i="6"/>
  <c r="AM81" i="6"/>
  <c r="AS81" i="6"/>
  <c r="BE81" i="6"/>
  <c r="BA81" i="6"/>
  <c r="AZ81" i="6"/>
  <c r="AY81" i="6"/>
  <c r="BB81" i="6"/>
  <c r="H81" i="6"/>
  <c r="T81" i="5" s="1"/>
  <c r="G81" i="12" s="1"/>
  <c r="G81" i="6"/>
  <c r="BF81" i="6"/>
  <c r="AT81" i="6"/>
  <c r="N81" i="6"/>
  <c r="BD81" i="6"/>
  <c r="AR81" i="6"/>
  <c r="AN81" i="6"/>
  <c r="AU81" i="6"/>
  <c r="AV81" i="6"/>
  <c r="AQ81" i="6"/>
  <c r="AP81" i="6"/>
  <c r="AG80" i="6"/>
  <c r="AD82" i="5"/>
  <c r="A82" i="12"/>
  <c r="G82" i="5"/>
  <c r="N82" i="5"/>
  <c r="D82" i="6" s="1"/>
  <c r="J82" i="5"/>
  <c r="C83" i="5"/>
  <c r="F82" i="5"/>
  <c r="K82" i="5"/>
  <c r="H82" i="5"/>
  <c r="D82" i="5"/>
  <c r="B82" i="12" s="1"/>
  <c r="B82" i="5"/>
  <c r="AE82" i="5"/>
  <c r="E82" i="5"/>
  <c r="B82" i="6"/>
  <c r="AJ80" i="6"/>
  <c r="AH80" i="6"/>
  <c r="AI80" i="6"/>
  <c r="AC80" i="6"/>
  <c r="AD80" i="6"/>
  <c r="AK80" i="6"/>
  <c r="AF80" i="6"/>
  <c r="AB80" i="6"/>
  <c r="AE80" i="6"/>
  <c r="AF14" i="13"/>
  <c r="AC14" i="13"/>
  <c r="AF81" i="6" l="1"/>
  <c r="AK81" i="6"/>
  <c r="AB81" i="6"/>
  <c r="AD81" i="6"/>
  <c r="AE81" i="6"/>
  <c r="AJ81" i="6"/>
  <c r="AC81" i="6"/>
  <c r="A82" i="6"/>
  <c r="N82" i="6" s="1"/>
  <c r="H82" i="6"/>
  <c r="AH81" i="6"/>
  <c r="AI81" i="6"/>
  <c r="AG81" i="6"/>
  <c r="B83" i="5"/>
  <c r="C84" i="5" s="1"/>
  <c r="F83" i="5"/>
  <c r="AD83" i="5"/>
  <c r="N83" i="5"/>
  <c r="D83" i="6" s="1"/>
  <c r="D83" i="5"/>
  <c r="B83" i="12" s="1"/>
  <c r="K83" i="5"/>
  <c r="B83" i="6"/>
  <c r="H83" i="5"/>
  <c r="A83" i="12"/>
  <c r="AE83" i="5"/>
  <c r="G83" i="5"/>
  <c r="J83" i="5"/>
  <c r="E83" i="5"/>
  <c r="L82" i="12"/>
  <c r="J82" i="12"/>
  <c r="B9" i="9"/>
  <c r="A83" i="6" l="1"/>
  <c r="N83" i="6" s="1"/>
  <c r="M82" i="6"/>
  <c r="AF82" i="6" s="1"/>
  <c r="H83" i="6"/>
  <c r="K82" i="12"/>
  <c r="L83" i="12"/>
  <c r="J83" i="12"/>
  <c r="B84" i="5"/>
  <c r="G84" i="5"/>
  <c r="A84" i="12"/>
  <c r="AE84" i="5"/>
  <c r="AD84" i="5"/>
  <c r="I84" i="5"/>
  <c r="H84" i="5"/>
  <c r="C85" i="5"/>
  <c r="E84" i="5"/>
  <c r="F84" i="5"/>
  <c r="N84" i="5"/>
  <c r="D84" i="6" s="1"/>
  <c r="W84" i="5"/>
  <c r="H84" i="12" s="1"/>
  <c r="B84" i="6"/>
  <c r="A84" i="6" s="1"/>
  <c r="T82" i="5"/>
  <c r="G82" i="12" s="1"/>
  <c r="AB82" i="6" l="1"/>
  <c r="AT82" i="6"/>
  <c r="AH82" i="6"/>
  <c r="AG82" i="6"/>
  <c r="AK82" i="6"/>
  <c r="AJ82" i="6"/>
  <c r="AC82" i="6"/>
  <c r="AY82" i="6"/>
  <c r="AN82" i="6"/>
  <c r="AV82" i="6"/>
  <c r="BG82" i="6"/>
  <c r="AZ82" i="6"/>
  <c r="AX82" i="6"/>
  <c r="BD82" i="6"/>
  <c r="AI82" i="6"/>
  <c r="AD82" i="6"/>
  <c r="AM82" i="6"/>
  <c r="AO82" i="6"/>
  <c r="BA82" i="6"/>
  <c r="M83" i="6"/>
  <c r="AV83" i="6" s="1"/>
  <c r="AP82" i="6"/>
  <c r="BE82" i="6"/>
  <c r="AS82" i="6"/>
  <c r="AR82" i="6"/>
  <c r="BF82" i="6"/>
  <c r="BB82" i="6"/>
  <c r="AQ82" i="6"/>
  <c r="AE82" i="6"/>
  <c r="AU82" i="6"/>
  <c r="BC82" i="6"/>
  <c r="G85" i="5"/>
  <c r="J85" i="5"/>
  <c r="B85" i="5"/>
  <c r="A85" i="12"/>
  <c r="AE85" i="5"/>
  <c r="D85" i="5"/>
  <c r="B85" i="12" s="1"/>
  <c r="C86" i="5"/>
  <c r="F85" i="5"/>
  <c r="N85" i="5"/>
  <c r="D85" i="6" s="1"/>
  <c r="B85" i="6"/>
  <c r="E85" i="5"/>
  <c r="H85" i="5"/>
  <c r="K85" i="5"/>
  <c r="AD85" i="5"/>
  <c r="BE84" i="6"/>
  <c r="BC84" i="6"/>
  <c r="AQ84" i="6"/>
  <c r="BF84" i="6"/>
  <c r="AZ84" i="6"/>
  <c r="AX84" i="6"/>
  <c r="AN84" i="6"/>
  <c r="AM84" i="6"/>
  <c r="N84" i="6"/>
  <c r="AU84" i="6"/>
  <c r="BG84" i="6"/>
  <c r="BD84" i="6"/>
  <c r="G84" i="6"/>
  <c r="AY84" i="6"/>
  <c r="BA84" i="6"/>
  <c r="AT84" i="6"/>
  <c r="AS84" i="6"/>
  <c r="AV84" i="6"/>
  <c r="BB84" i="6"/>
  <c r="AR84" i="6"/>
  <c r="M84" i="6"/>
  <c r="AO84" i="6" s="1"/>
  <c r="H84" i="6"/>
  <c r="T84" i="5" s="1"/>
  <c r="G84" i="12" s="1"/>
  <c r="AP84" i="6"/>
  <c r="K83" i="12"/>
  <c r="T83" i="5"/>
  <c r="G83" i="12" s="1"/>
  <c r="AM83" i="6" l="1"/>
  <c r="AD83" i="6"/>
  <c r="AK83" i="6"/>
  <c r="AN83" i="6"/>
  <c r="AR83" i="6"/>
  <c r="AE83" i="6"/>
  <c r="AF83" i="6"/>
  <c r="BB83" i="6"/>
  <c r="BD83" i="6"/>
  <c r="AB83" i="6"/>
  <c r="AT83" i="6"/>
  <c r="AX83" i="6"/>
  <c r="AJ83" i="6"/>
  <c r="AC83" i="6"/>
  <c r="AG83" i="6"/>
  <c r="BE83" i="6"/>
  <c r="AO83" i="6"/>
  <c r="AH83" i="6"/>
  <c r="AS83" i="6"/>
  <c r="AQ83" i="6"/>
  <c r="BG83" i="6"/>
  <c r="AU83" i="6"/>
  <c r="BF83" i="6"/>
  <c r="AP83" i="6"/>
  <c r="BC83" i="6"/>
  <c r="AZ83" i="6"/>
  <c r="AY83" i="6"/>
  <c r="AI83" i="6"/>
  <c r="BA83" i="6"/>
  <c r="A85" i="6"/>
  <c r="N85" i="6" s="1"/>
  <c r="AF84" i="6"/>
  <c r="AI84" i="6"/>
  <c r="AC84" i="6"/>
  <c r="AE84" i="6"/>
  <c r="AJ84" i="6"/>
  <c r="AH84" i="6"/>
  <c r="AG84" i="6"/>
  <c r="H85" i="6"/>
  <c r="J85" i="12"/>
  <c r="L85" i="12"/>
  <c r="AK84" i="6"/>
  <c r="AB84" i="6"/>
  <c r="AD84" i="6"/>
  <c r="D86" i="5"/>
  <c r="B86" i="12" s="1"/>
  <c r="N86" i="5"/>
  <c r="D86" i="6" s="1"/>
  <c r="J86" i="5"/>
  <c r="F86" i="5"/>
  <c r="B86" i="6"/>
  <c r="H86" i="5"/>
  <c r="A86" i="12"/>
  <c r="AD86" i="5"/>
  <c r="E86" i="5"/>
  <c r="G86" i="5"/>
  <c r="C87" i="5"/>
  <c r="K86" i="5"/>
  <c r="B86" i="5"/>
  <c r="AE86" i="5"/>
  <c r="K85" i="12" l="1"/>
  <c r="M85" i="6"/>
  <c r="BF85" i="6" s="1"/>
  <c r="A86" i="6"/>
  <c r="N86" i="6" s="1"/>
  <c r="J86" i="12"/>
  <c r="L86" i="12"/>
  <c r="B87" i="5"/>
  <c r="AE87" i="5"/>
  <c r="F87" i="5"/>
  <c r="AD87" i="5"/>
  <c r="G87" i="5"/>
  <c r="K87" i="5"/>
  <c r="C88" i="5"/>
  <c r="H87" i="5"/>
  <c r="E87" i="5"/>
  <c r="D87" i="5"/>
  <c r="B87" i="12" s="1"/>
  <c r="N87" i="5"/>
  <c r="D87" i="6" s="1"/>
  <c r="B87" i="6"/>
  <c r="A87" i="12"/>
  <c r="J87" i="5"/>
  <c r="H86" i="6"/>
  <c r="T85" i="5"/>
  <c r="G85" i="12" s="1"/>
  <c r="AK85" i="6" l="1"/>
  <c r="AO85" i="6"/>
  <c r="K86" i="12"/>
  <c r="AG85" i="6"/>
  <c r="AJ85" i="6"/>
  <c r="AT85" i="6"/>
  <c r="AN85" i="6"/>
  <c r="AC85" i="6"/>
  <c r="BE85" i="6"/>
  <c r="AH85" i="6"/>
  <c r="AS85" i="6"/>
  <c r="BC85" i="6"/>
  <c r="AD85" i="6"/>
  <c r="AM85" i="6"/>
  <c r="AZ85" i="6"/>
  <c r="BD85" i="6"/>
  <c r="AY85" i="6"/>
  <c r="BA85" i="6"/>
  <c r="AX85" i="6"/>
  <c r="BB85" i="6"/>
  <c r="BG85" i="6"/>
  <c r="AQ85" i="6"/>
  <c r="AU85" i="6"/>
  <c r="AV85" i="6"/>
  <c r="AP85" i="6"/>
  <c r="AR85" i="6"/>
  <c r="AB85" i="6"/>
  <c r="AI85" i="6"/>
  <c r="AE85" i="6"/>
  <c r="AF85" i="6"/>
  <c r="M86" i="6"/>
  <c r="AC86" i="6" s="1"/>
  <c r="T86" i="5"/>
  <c r="G86" i="12" s="1"/>
  <c r="K88" i="5"/>
  <c r="J88" i="5"/>
  <c r="C89" i="5"/>
  <c r="B88" i="5"/>
  <c r="AD88" i="5"/>
  <c r="E88" i="5"/>
  <c r="B88" i="6"/>
  <c r="F88" i="5"/>
  <c r="A88" i="12"/>
  <c r="H88" i="5"/>
  <c r="D88" i="5"/>
  <c r="B88" i="12" s="1"/>
  <c r="N88" i="5"/>
  <c r="D88" i="6" s="1"/>
  <c r="AE88" i="5"/>
  <c r="G88" i="5"/>
  <c r="L87" i="12"/>
  <c r="J87" i="12"/>
  <c r="H87" i="6"/>
  <c r="A87" i="6"/>
  <c r="N87" i="6" s="1"/>
  <c r="AO86" i="6" l="1"/>
  <c r="AN86" i="6"/>
  <c r="AR86" i="6"/>
  <c r="BF86" i="6"/>
  <c r="AZ86" i="6"/>
  <c r="BE86" i="6"/>
  <c r="AS86" i="6"/>
  <c r="AU86" i="6"/>
  <c r="AP86" i="6"/>
  <c r="AM86" i="6"/>
  <c r="BG86" i="6"/>
  <c r="BA86" i="6"/>
  <c r="AX86" i="6"/>
  <c r="BC86" i="6"/>
  <c r="AD86" i="6"/>
  <c r="AF86" i="6"/>
  <c r="AJ86" i="6"/>
  <c r="AT86" i="6"/>
  <c r="BB86" i="6"/>
  <c r="AQ86" i="6"/>
  <c r="AY86" i="6"/>
  <c r="AH86" i="6"/>
  <c r="AE86" i="6"/>
  <c r="AG86" i="6"/>
  <c r="AI86" i="6"/>
  <c r="AK86" i="6"/>
  <c r="AV86" i="6"/>
  <c r="BD86" i="6"/>
  <c r="AB86" i="6"/>
  <c r="K87" i="12"/>
  <c r="H88" i="6"/>
  <c r="M87" i="6"/>
  <c r="AE87" i="6" s="1"/>
  <c r="A88" i="6"/>
  <c r="N88" i="6" s="1"/>
  <c r="T87" i="5"/>
  <c r="G87" i="12" s="1"/>
  <c r="J89" i="5"/>
  <c r="H89" i="5"/>
  <c r="AD89" i="5"/>
  <c r="F89" i="5"/>
  <c r="K89" i="5"/>
  <c r="B89" i="6"/>
  <c r="A89" i="12"/>
  <c r="D89" i="5"/>
  <c r="B89" i="12" s="1"/>
  <c r="C90" i="5"/>
  <c r="G89" i="5"/>
  <c r="N89" i="5"/>
  <c r="D89" i="6" s="1"/>
  <c r="E89" i="5"/>
  <c r="B89" i="5"/>
  <c r="AE89" i="5"/>
  <c r="L88" i="12"/>
  <c r="J88" i="12"/>
  <c r="AC87" i="6" l="1"/>
  <c r="K88" i="12"/>
  <c r="L89" i="12"/>
  <c r="J89" i="12"/>
  <c r="A89" i="6"/>
  <c r="N89" i="6" s="1"/>
  <c r="AJ87" i="6"/>
  <c r="AS87" i="6"/>
  <c r="BG87" i="6"/>
  <c r="AR87" i="6"/>
  <c r="BB87" i="6"/>
  <c r="AQ87" i="6"/>
  <c r="BC87" i="6"/>
  <c r="BA87" i="6"/>
  <c r="AX87" i="6"/>
  <c r="AV87" i="6"/>
  <c r="AU87" i="6"/>
  <c r="AD87" i="6"/>
  <c r="AP87" i="6"/>
  <c r="AZ87" i="6"/>
  <c r="AO87" i="6"/>
  <c r="BE87" i="6"/>
  <c r="AN87" i="6"/>
  <c r="BD87" i="6"/>
  <c r="AM87" i="6"/>
  <c r="BF87" i="6"/>
  <c r="AY87" i="6"/>
  <c r="AK87" i="6"/>
  <c r="AI87" i="6"/>
  <c r="AF87" i="6"/>
  <c r="AT87" i="6"/>
  <c r="AG87" i="6"/>
  <c r="H89" i="6"/>
  <c r="B90" i="5"/>
  <c r="G90" i="5"/>
  <c r="A90" i="12"/>
  <c r="D90" i="5"/>
  <c r="B90" i="12" s="1"/>
  <c r="AE90" i="5"/>
  <c r="C91" i="5"/>
  <c r="J90" i="5"/>
  <c r="K90" i="5"/>
  <c r="B90" i="6"/>
  <c r="E90" i="5"/>
  <c r="N90" i="5"/>
  <c r="D90" i="6" s="1"/>
  <c r="F90" i="5"/>
  <c r="H90" i="5"/>
  <c r="AD90" i="5"/>
  <c r="AB87" i="6"/>
  <c r="M88" i="6"/>
  <c r="AB88" i="6" s="1"/>
  <c r="AH87" i="6"/>
  <c r="T88" i="5"/>
  <c r="G88" i="12" s="1"/>
  <c r="M89" i="6" l="1"/>
  <c r="BA89" i="6" s="1"/>
  <c r="K89" i="12"/>
  <c r="AH88" i="6"/>
  <c r="AG88" i="6"/>
  <c r="L90" i="12"/>
  <c r="J90" i="12"/>
  <c r="F91" i="5"/>
  <c r="AD91" i="5"/>
  <c r="B91" i="5"/>
  <c r="N91" i="5"/>
  <c r="D91" i="6" s="1"/>
  <c r="G91" i="5"/>
  <c r="J91" i="5"/>
  <c r="H91" i="5"/>
  <c r="AE91" i="5"/>
  <c r="C92" i="5"/>
  <c r="D91" i="5"/>
  <c r="B91" i="12" s="1"/>
  <c r="K91" i="5"/>
  <c r="B91" i="6"/>
  <c r="A91" i="12"/>
  <c r="E91" i="5"/>
  <c r="AX88" i="6"/>
  <c r="BB88" i="6"/>
  <c r="AR88" i="6"/>
  <c r="BG88" i="6"/>
  <c r="AN88" i="6"/>
  <c r="BC88" i="6"/>
  <c r="AY88" i="6"/>
  <c r="AT88" i="6"/>
  <c r="AK88" i="6"/>
  <c r="AS88" i="6"/>
  <c r="AD88" i="6"/>
  <c r="BE88" i="6"/>
  <c r="AJ88" i="6"/>
  <c r="AO88" i="6"/>
  <c r="AQ88" i="6"/>
  <c r="AE88" i="6"/>
  <c r="BF88" i="6"/>
  <c r="AV88" i="6"/>
  <c r="AP88" i="6"/>
  <c r="BA88" i="6"/>
  <c r="AI88" i="6"/>
  <c r="AU88" i="6"/>
  <c r="AZ88" i="6"/>
  <c r="AC88" i="6"/>
  <c r="AM88" i="6"/>
  <c r="BD88" i="6"/>
  <c r="H90" i="6"/>
  <c r="A90" i="6"/>
  <c r="M90" i="6" s="1"/>
  <c r="T89" i="5"/>
  <c r="G89" i="12" s="1"/>
  <c r="AF88" i="6"/>
  <c r="AH89" i="6" l="1"/>
  <c r="AC89" i="6"/>
  <c r="AE89" i="6"/>
  <c r="AY89" i="6"/>
  <c r="BG89" i="6"/>
  <c r="AF89" i="6"/>
  <c r="AM89" i="6"/>
  <c r="AB89" i="6"/>
  <c r="BE89" i="6"/>
  <c r="AX89" i="6"/>
  <c r="AQ89" i="6"/>
  <c r="AU89" i="6"/>
  <c r="AV89" i="6"/>
  <c r="AO89" i="6"/>
  <c r="BF89" i="6"/>
  <c r="AD89" i="6"/>
  <c r="AZ89" i="6"/>
  <c r="AK89" i="6"/>
  <c r="AT89" i="6"/>
  <c r="AG89" i="6"/>
  <c r="AJ89" i="6"/>
  <c r="AP89" i="6"/>
  <c r="BD89" i="6"/>
  <c r="AR89" i="6"/>
  <c r="AS89" i="6"/>
  <c r="AI89" i="6"/>
  <c r="BC89" i="6"/>
  <c r="BB89" i="6"/>
  <c r="AN89" i="6"/>
  <c r="K90" i="12"/>
  <c r="AK90" i="6"/>
  <c r="BA90" i="6"/>
  <c r="AV90" i="6"/>
  <c r="AR90" i="6"/>
  <c r="AO90" i="6"/>
  <c r="BB90" i="6"/>
  <c r="AP90" i="6"/>
  <c r="AN90" i="6"/>
  <c r="BG90" i="6"/>
  <c r="BF90" i="6"/>
  <c r="AQ90" i="6"/>
  <c r="AS90" i="6"/>
  <c r="AY90" i="6"/>
  <c r="BD90" i="6"/>
  <c r="AX90" i="6"/>
  <c r="AZ90" i="6"/>
  <c r="AM90" i="6"/>
  <c r="BC90" i="6"/>
  <c r="BE90" i="6"/>
  <c r="AU90" i="6"/>
  <c r="AT90" i="6"/>
  <c r="L91" i="12"/>
  <c r="J91" i="12"/>
  <c r="B92" i="6"/>
  <c r="AD92" i="5"/>
  <c r="B92" i="5"/>
  <c r="N92" i="5"/>
  <c r="D92" i="6" s="1"/>
  <c r="D92" i="5"/>
  <c r="B92" i="12" s="1"/>
  <c r="E92" i="5"/>
  <c r="J92" i="5"/>
  <c r="C93" i="5"/>
  <c r="A92" i="12"/>
  <c r="F92" i="5"/>
  <c r="K92" i="5"/>
  <c r="G92" i="5"/>
  <c r="AE92" i="5"/>
  <c r="H92" i="5"/>
  <c r="AG90" i="6"/>
  <c r="AD90" i="6"/>
  <c r="A91" i="6"/>
  <c r="N91" i="6" s="1"/>
  <c r="H91" i="6"/>
  <c r="N90" i="6"/>
  <c r="AJ90" i="6"/>
  <c r="T90" i="5"/>
  <c r="G90" i="12" s="1"/>
  <c r="AI90" i="6"/>
  <c r="AH90" i="6"/>
  <c r="AE90" i="6"/>
  <c r="AF90" i="6"/>
  <c r="AB90" i="6"/>
  <c r="AC90" i="6"/>
  <c r="F142" i="6"/>
  <c r="E142" i="12"/>
  <c r="K91" i="12" l="1"/>
  <c r="J92" i="12"/>
  <c r="L92" i="12"/>
  <c r="A92" i="6"/>
  <c r="M92" i="6" s="1"/>
  <c r="BE92" i="6" s="1"/>
  <c r="B93" i="5"/>
  <c r="N93" i="5"/>
  <c r="D93" i="6" s="1"/>
  <c r="A93" i="12"/>
  <c r="AD93" i="5"/>
  <c r="H93" i="5"/>
  <c r="F93" i="5"/>
  <c r="D93" i="5"/>
  <c r="B93" i="12" s="1"/>
  <c r="B93" i="6"/>
  <c r="J93" i="5"/>
  <c r="K93" i="5"/>
  <c r="AE93" i="5"/>
  <c r="E93" i="5"/>
  <c r="G93" i="5"/>
  <c r="C94" i="5"/>
  <c r="H92" i="6"/>
  <c r="T92" i="5" s="1"/>
  <c r="G92" i="12" s="1"/>
  <c r="M91" i="6"/>
  <c r="AI91" i="6" s="1"/>
  <c r="T91" i="5"/>
  <c r="G91" i="12" s="1"/>
  <c r="E163" i="12"/>
  <c r="F163" i="6"/>
  <c r="N92" i="6" l="1"/>
  <c r="A93" i="6"/>
  <c r="M93" i="6" s="1"/>
  <c r="AM93" i="6" s="1"/>
  <c r="BF92" i="6"/>
  <c r="BA92" i="6"/>
  <c r="AQ92" i="6"/>
  <c r="BG92" i="6"/>
  <c r="AU92" i="6"/>
  <c r="AR92" i="6"/>
  <c r="AV92" i="6"/>
  <c r="BD92" i="6"/>
  <c r="BB92" i="6"/>
  <c r="AZ92" i="6"/>
  <c r="AF92" i="6"/>
  <c r="AI92" i="6"/>
  <c r="AE92" i="6"/>
  <c r="AG92" i="6"/>
  <c r="AC91" i="6"/>
  <c r="AH92" i="6"/>
  <c r="AB92" i="6"/>
  <c r="AG91" i="6"/>
  <c r="AY92" i="6"/>
  <c r="AM92" i="6"/>
  <c r="AC92" i="6"/>
  <c r="AD92" i="6"/>
  <c r="AO92" i="6"/>
  <c r="BC92" i="6"/>
  <c r="AE91" i="6"/>
  <c r="BE91" i="6"/>
  <c r="BG91" i="6"/>
  <c r="AT91" i="6"/>
  <c r="AZ91" i="6"/>
  <c r="BD91" i="6"/>
  <c r="AU91" i="6"/>
  <c r="BB91" i="6"/>
  <c r="AP91" i="6"/>
  <c r="AR91" i="6"/>
  <c r="BA91" i="6"/>
  <c r="AN91" i="6"/>
  <c r="AO91" i="6"/>
  <c r="AX91" i="6"/>
  <c r="AS91" i="6"/>
  <c r="AM91" i="6"/>
  <c r="AV91" i="6"/>
  <c r="BC91" i="6"/>
  <c r="AY91" i="6"/>
  <c r="AQ91" i="6"/>
  <c r="BF91" i="6"/>
  <c r="AH91" i="6"/>
  <c r="AK91" i="6"/>
  <c r="AD91" i="6"/>
  <c r="AJ92" i="6"/>
  <c r="AT92" i="6"/>
  <c r="AX92" i="6"/>
  <c r="AK92" i="6"/>
  <c r="AN92" i="6"/>
  <c r="AS92" i="6"/>
  <c r="AP92" i="6"/>
  <c r="AF91" i="6"/>
  <c r="AJ91" i="6"/>
  <c r="L93" i="12"/>
  <c r="J93" i="12"/>
  <c r="K92" i="12"/>
  <c r="AB91" i="6"/>
  <c r="A94" i="12"/>
  <c r="B94" i="5"/>
  <c r="H94" i="5"/>
  <c r="J94" i="5"/>
  <c r="N94" i="5"/>
  <c r="D94" i="6" s="1"/>
  <c r="B94" i="6"/>
  <c r="AD94" i="5"/>
  <c r="G94" i="5"/>
  <c r="K94" i="5"/>
  <c r="AE94" i="5"/>
  <c r="E94" i="5"/>
  <c r="C95" i="5"/>
  <c r="F94" i="5"/>
  <c r="D94" i="5"/>
  <c r="B94" i="12" s="1"/>
  <c r="H93" i="6"/>
  <c r="T93" i="5" s="1"/>
  <c r="G93" i="12" s="1"/>
  <c r="AR93" i="6" l="1"/>
  <c r="BF93" i="6"/>
  <c r="N93" i="6"/>
  <c r="AO93" i="6"/>
  <c r="BE93" i="6"/>
  <c r="AQ93" i="6"/>
  <c r="BC93" i="6"/>
  <c r="AV93" i="6"/>
  <c r="AT93" i="6"/>
  <c r="AS93" i="6"/>
  <c r="AP93" i="6"/>
  <c r="BB93" i="6"/>
  <c r="AZ93" i="6"/>
  <c r="AY93" i="6"/>
  <c r="AU93" i="6"/>
  <c r="BG93" i="6"/>
  <c r="AN93" i="6"/>
  <c r="BD93" i="6"/>
  <c r="BA93" i="6"/>
  <c r="AX93" i="6"/>
  <c r="AF93" i="6"/>
  <c r="AB93" i="6"/>
  <c r="AC93" i="6"/>
  <c r="AJ93" i="6"/>
  <c r="AI93" i="6"/>
  <c r="AH93" i="6"/>
  <c r="AG93" i="6"/>
  <c r="AK93" i="6"/>
  <c r="A94" i="6"/>
  <c r="N94" i="6" s="1"/>
  <c r="AD93" i="6"/>
  <c r="AE93" i="6"/>
  <c r="E95" i="5"/>
  <c r="K95" i="5"/>
  <c r="A95" i="12"/>
  <c r="AD95" i="5"/>
  <c r="J95" i="5"/>
  <c r="C96" i="5"/>
  <c r="N95" i="5"/>
  <c r="D95" i="6" s="1"/>
  <c r="B95" i="5"/>
  <c r="B95" i="6"/>
  <c r="AE95" i="5"/>
  <c r="G95" i="5"/>
  <c r="F95" i="5"/>
  <c r="H95" i="5"/>
  <c r="D95" i="5"/>
  <c r="B95" i="12" s="1"/>
  <c r="H94" i="6"/>
  <c r="L94" i="12"/>
  <c r="J94" i="12"/>
  <c r="K93" i="12"/>
  <c r="M94" i="6" l="1"/>
  <c r="AF94" i="6" s="1"/>
  <c r="A95" i="6"/>
  <c r="N95" i="6" s="1"/>
  <c r="T94" i="5"/>
  <c r="G94" i="12" s="1"/>
  <c r="H95" i="6"/>
  <c r="L95" i="12"/>
  <c r="J95" i="12"/>
  <c r="K94" i="12"/>
  <c r="B96" i="6"/>
  <c r="F96" i="5"/>
  <c r="K96" i="5"/>
  <c r="E96" i="5"/>
  <c r="B96" i="5"/>
  <c r="A96" i="12"/>
  <c r="H96" i="5"/>
  <c r="AE96" i="5"/>
  <c r="AD96" i="5"/>
  <c r="D96" i="5"/>
  <c r="B96" i="12" s="1"/>
  <c r="G96" i="5"/>
  <c r="C97" i="5"/>
  <c r="N96" i="5"/>
  <c r="D96" i="6" s="1"/>
  <c r="J96" i="5"/>
  <c r="BG94" i="6" l="1"/>
  <c r="BD94" i="6"/>
  <c r="BA94" i="6"/>
  <c r="BC94" i="6"/>
  <c r="AG94" i="6"/>
  <c r="BE94" i="6"/>
  <c r="AS94" i="6"/>
  <c r="AO94" i="6"/>
  <c r="AJ94" i="6"/>
  <c r="AK94" i="6"/>
  <c r="AE94" i="6"/>
  <c r="AN94" i="6"/>
  <c r="AQ94" i="6"/>
  <c r="AP94" i="6"/>
  <c r="AU94" i="6"/>
  <c r="AY94" i="6"/>
  <c r="AC94" i="6"/>
  <c r="AD94" i="6"/>
  <c r="AR94" i="6"/>
  <c r="BB94" i="6"/>
  <c r="AT94" i="6"/>
  <c r="BF94" i="6"/>
  <c r="AM94" i="6"/>
  <c r="AZ94" i="6"/>
  <c r="AX94" i="6"/>
  <c r="AI94" i="6"/>
  <c r="AB94" i="6"/>
  <c r="AV94" i="6"/>
  <c r="AH94" i="6"/>
  <c r="M95" i="6"/>
  <c r="AG95" i="6" s="1"/>
  <c r="T95" i="5"/>
  <c r="G95" i="12" s="1"/>
  <c r="L96" i="12"/>
  <c r="J96" i="12"/>
  <c r="K95" i="12"/>
  <c r="H96" i="6"/>
  <c r="T96" i="5" s="1"/>
  <c r="G96" i="12" s="1"/>
  <c r="A96" i="6"/>
  <c r="M96" i="6" s="1"/>
  <c r="B97" i="5"/>
  <c r="C98" i="5" s="1"/>
  <c r="H97" i="5"/>
  <c r="J97" i="5"/>
  <c r="A97" i="12"/>
  <c r="K97" i="5"/>
  <c r="E97" i="5"/>
  <c r="AD97" i="5"/>
  <c r="F97" i="5"/>
  <c r="AE97" i="5"/>
  <c r="B97" i="6"/>
  <c r="G97" i="5"/>
  <c r="N97" i="5"/>
  <c r="D97" i="6" s="1"/>
  <c r="D97" i="5"/>
  <c r="B97" i="12" s="1"/>
  <c r="AI96" i="6" l="1"/>
  <c r="AQ95" i="6"/>
  <c r="AU95" i="6"/>
  <c r="BA95" i="6"/>
  <c r="AZ95" i="6"/>
  <c r="AO95" i="6"/>
  <c r="AM95" i="6"/>
  <c r="AJ95" i="6"/>
  <c r="BF95" i="6"/>
  <c r="AS95" i="6"/>
  <c r="AV95" i="6"/>
  <c r="AI95" i="6"/>
  <c r="AX95" i="6"/>
  <c r="BD95" i="6"/>
  <c r="AC95" i="6"/>
  <c r="AF95" i="6"/>
  <c r="BE95" i="6"/>
  <c r="AH95" i="6"/>
  <c r="BG95" i="6"/>
  <c r="AT95" i="6"/>
  <c r="AP95" i="6"/>
  <c r="BB95" i="6"/>
  <c r="AY95" i="6"/>
  <c r="AB95" i="6"/>
  <c r="AD95" i="6"/>
  <c r="AK95" i="6"/>
  <c r="AR95" i="6"/>
  <c r="AN95" i="6"/>
  <c r="BC95" i="6"/>
  <c r="AE95" i="6"/>
  <c r="N96" i="6"/>
  <c r="A97" i="6"/>
  <c r="N97" i="6" s="1"/>
  <c r="AF96" i="6"/>
  <c r="AJ96" i="6"/>
  <c r="AP96" i="6"/>
  <c r="AR96" i="6"/>
  <c r="AO96" i="6"/>
  <c r="AC96" i="6"/>
  <c r="BG96" i="6"/>
  <c r="K96" i="12"/>
  <c r="L97" i="12"/>
  <c r="J97" i="12"/>
  <c r="F98" i="5"/>
  <c r="K84" i="5" s="1"/>
  <c r="E98" i="5"/>
  <c r="C99" i="5"/>
  <c r="N98" i="5"/>
  <c r="D98" i="6" s="1"/>
  <c r="B98" i="5"/>
  <c r="H98" i="5"/>
  <c r="AD98" i="5"/>
  <c r="AE98" i="5"/>
  <c r="B98" i="6"/>
  <c r="A98" i="6" s="1"/>
  <c r="G98" i="5"/>
  <c r="W98" i="5"/>
  <c r="H98" i="12" s="1"/>
  <c r="A98" i="12"/>
  <c r="AQ96" i="6"/>
  <c r="BB96" i="6"/>
  <c r="AS96" i="6"/>
  <c r="BA96" i="6"/>
  <c r="AZ96" i="6"/>
  <c r="BC96" i="6"/>
  <c r="AG96" i="6"/>
  <c r="AT96" i="6"/>
  <c r="BF96" i="6"/>
  <c r="AX96" i="6"/>
  <c r="AY96" i="6"/>
  <c r="AM96" i="6"/>
  <c r="AH96" i="6"/>
  <c r="AD96" i="6"/>
  <c r="H97" i="6"/>
  <c r="T97" i="5" s="1"/>
  <c r="G97" i="12" s="1"/>
  <c r="AU96" i="6"/>
  <c r="AB96" i="6"/>
  <c r="AN96" i="6"/>
  <c r="AV96" i="6"/>
  <c r="AK96" i="6"/>
  <c r="AE96" i="6"/>
  <c r="BE96" i="6"/>
  <c r="BD96" i="6"/>
  <c r="K97" i="12" l="1"/>
  <c r="J99" i="5"/>
  <c r="H99" i="5"/>
  <c r="D99" i="5"/>
  <c r="B99" i="12" s="1"/>
  <c r="K99" i="5"/>
  <c r="B99" i="6"/>
  <c r="B99" i="5"/>
  <c r="N99" i="5"/>
  <c r="D99" i="6" s="1"/>
  <c r="E99" i="5"/>
  <c r="AE99" i="5"/>
  <c r="F99" i="5"/>
  <c r="G99" i="5"/>
  <c r="A99" i="12"/>
  <c r="C100" i="5"/>
  <c r="AD99" i="5"/>
  <c r="M97" i="6"/>
  <c r="AK97" i="6" s="1"/>
  <c r="G98" i="6"/>
  <c r="BF98" i="6"/>
  <c r="H98" i="6"/>
  <c r="T98" i="5" s="1"/>
  <c r="G98" i="12" s="1"/>
  <c r="AQ98" i="6"/>
  <c r="M98" i="6"/>
  <c r="AT98" i="6"/>
  <c r="AR98" i="6"/>
  <c r="AS98" i="6"/>
  <c r="AM98" i="6"/>
  <c r="AO98" i="6"/>
  <c r="AU98" i="6"/>
  <c r="N98" i="6"/>
  <c r="BD98" i="6"/>
  <c r="AN98" i="6"/>
  <c r="AP98" i="6"/>
  <c r="BC98" i="6"/>
  <c r="AZ98" i="6"/>
  <c r="BE98" i="6"/>
  <c r="AY98" i="6"/>
  <c r="BA98" i="6"/>
  <c r="AX98" i="6"/>
  <c r="BB98" i="6"/>
  <c r="AV98" i="6"/>
  <c r="BG98" i="6"/>
  <c r="AG98" i="6" l="1"/>
  <c r="AC97" i="6"/>
  <c r="AJ98" i="6"/>
  <c r="AE97" i="6"/>
  <c r="AF98" i="6"/>
  <c r="AD97" i="6"/>
  <c r="AI98" i="6"/>
  <c r="AH97" i="6"/>
  <c r="J99" i="12"/>
  <c r="L99" i="12"/>
  <c r="AE98" i="6"/>
  <c r="AB98" i="6"/>
  <c r="AK98" i="6"/>
  <c r="AI97" i="6"/>
  <c r="H99" i="6"/>
  <c r="T99" i="5" s="1"/>
  <c r="G99" i="12" s="1"/>
  <c r="AH98" i="6"/>
  <c r="BE97" i="6"/>
  <c r="AU97" i="6"/>
  <c r="AP97" i="6"/>
  <c r="BF97" i="6"/>
  <c r="BD97" i="6"/>
  <c r="AV97" i="6"/>
  <c r="BC97" i="6"/>
  <c r="AS97" i="6"/>
  <c r="AT97" i="6"/>
  <c r="BA97" i="6"/>
  <c r="AJ97" i="6"/>
  <c r="AO97" i="6"/>
  <c r="AN97" i="6"/>
  <c r="AR97" i="6"/>
  <c r="BG97" i="6"/>
  <c r="AZ97" i="6"/>
  <c r="AQ97" i="6"/>
  <c r="AY97" i="6"/>
  <c r="BB97" i="6"/>
  <c r="AX97" i="6"/>
  <c r="AM97" i="6"/>
  <c r="AB97" i="6"/>
  <c r="AD98" i="6"/>
  <c r="AC98" i="6"/>
  <c r="AG97" i="6"/>
  <c r="AF97" i="6"/>
  <c r="K100" i="5"/>
  <c r="C101" i="5"/>
  <c r="B100" i="5"/>
  <c r="G100" i="5"/>
  <c r="N100" i="5"/>
  <c r="D100" i="6" s="1"/>
  <c r="E100" i="5"/>
  <c r="F100" i="5"/>
  <c r="H100" i="5"/>
  <c r="D100" i="5"/>
  <c r="B100" i="12" s="1"/>
  <c r="B100" i="6"/>
  <c r="AE100" i="5"/>
  <c r="A100" i="12"/>
  <c r="AD100" i="5"/>
  <c r="J100" i="5"/>
  <c r="A99" i="6"/>
  <c r="M99" i="6" s="1"/>
  <c r="BA99" i="6" s="1"/>
  <c r="AN99" i="6" l="1"/>
  <c r="BE99" i="6"/>
  <c r="AG99" i="6"/>
  <c r="AM99" i="6"/>
  <c r="AQ99" i="6"/>
  <c r="AB99" i="6"/>
  <c r="AE99" i="6"/>
  <c r="AS99" i="6"/>
  <c r="L100" i="12"/>
  <c r="J100" i="12"/>
  <c r="AR99" i="6"/>
  <c r="BC99" i="6"/>
  <c r="AP99" i="6"/>
  <c r="BG99" i="6"/>
  <c r="BB99" i="6"/>
  <c r="N99" i="6"/>
  <c r="A100" i="6"/>
  <c r="M100" i="6" s="1"/>
  <c r="BF100" i="6" s="1"/>
  <c r="A101" i="12"/>
  <c r="G101" i="5"/>
  <c r="E101" i="5"/>
  <c r="F101" i="5"/>
  <c r="C102" i="5"/>
  <c r="B101" i="6"/>
  <c r="AE101" i="5"/>
  <c r="J101" i="5"/>
  <c r="B101" i="5"/>
  <c r="AD101" i="5"/>
  <c r="H101" i="5"/>
  <c r="D101" i="5"/>
  <c r="B101" i="12" s="1"/>
  <c r="N101" i="5"/>
  <c r="D101" i="6" s="1"/>
  <c r="K101" i="5"/>
  <c r="AF99" i="6"/>
  <c r="AX99" i="6"/>
  <c r="AY99" i="6"/>
  <c r="AI99" i="6"/>
  <c r="AC99" i="6"/>
  <c r="AH99" i="6"/>
  <c r="AZ99" i="6"/>
  <c r="K99" i="12"/>
  <c r="BF99" i="6"/>
  <c r="H100" i="6"/>
  <c r="T100" i="5" s="1"/>
  <c r="G100" i="12" s="1"/>
  <c r="AU99" i="6"/>
  <c r="AK99" i="6"/>
  <c r="AV99" i="6"/>
  <c r="BD99" i="6"/>
  <c r="AJ99" i="6"/>
  <c r="AT99" i="6"/>
  <c r="AO99" i="6"/>
  <c r="AD99" i="6"/>
  <c r="I98" i="5"/>
  <c r="N100" i="6" l="1"/>
  <c r="AT100" i="6"/>
  <c r="AO100" i="6"/>
  <c r="AV100" i="6"/>
  <c r="AC100" i="6"/>
  <c r="AJ100" i="6"/>
  <c r="BB100" i="6"/>
  <c r="AE100" i="6"/>
  <c r="AD100" i="6"/>
  <c r="BD100" i="6"/>
  <c r="AG100" i="6"/>
  <c r="AN100" i="6"/>
  <c r="AK100" i="6"/>
  <c r="AY100" i="6"/>
  <c r="K100" i="12"/>
  <c r="BG100" i="6"/>
  <c r="AF100" i="6"/>
  <c r="AR100" i="6"/>
  <c r="AQ100" i="6"/>
  <c r="BE100" i="6"/>
  <c r="AI100" i="6"/>
  <c r="AB100" i="6"/>
  <c r="BC100" i="6"/>
  <c r="A101" i="6"/>
  <c r="N101" i="6" s="1"/>
  <c r="AU100" i="6"/>
  <c r="AP100" i="6"/>
  <c r="AX100" i="6"/>
  <c r="AZ100" i="6"/>
  <c r="AM100" i="6"/>
  <c r="AS100" i="6"/>
  <c r="BA100" i="6"/>
  <c r="AH100" i="6"/>
  <c r="H101" i="6"/>
  <c r="D102" i="5"/>
  <c r="B102" i="12" s="1"/>
  <c r="G102" i="5"/>
  <c r="K102" i="5"/>
  <c r="A102" i="12"/>
  <c r="J102" i="5"/>
  <c r="B102" i="5"/>
  <c r="F102" i="5"/>
  <c r="N102" i="5"/>
  <c r="D102" i="6" s="1"/>
  <c r="H102" i="5"/>
  <c r="AD102" i="5"/>
  <c r="C103" i="5"/>
  <c r="E102" i="5"/>
  <c r="B102" i="6"/>
  <c r="AE102" i="5"/>
  <c r="J101" i="12"/>
  <c r="L101" i="12"/>
  <c r="AG17" i="13"/>
  <c r="K101" i="12" l="1"/>
  <c r="M101" i="6"/>
  <c r="BF101" i="6" s="1"/>
  <c r="A102" i="6"/>
  <c r="N102" i="6" s="1"/>
  <c r="H102" i="6"/>
  <c r="J102" i="12"/>
  <c r="L102" i="12"/>
  <c r="F103" i="5"/>
  <c r="K103" i="5"/>
  <c r="G103" i="5"/>
  <c r="N103" i="5"/>
  <c r="D103" i="6" s="1"/>
  <c r="B103" i="6"/>
  <c r="B103" i="5"/>
  <c r="AD103" i="5"/>
  <c r="J103" i="5"/>
  <c r="E103" i="5"/>
  <c r="A103" i="12"/>
  <c r="H103" i="5"/>
  <c r="D103" i="5"/>
  <c r="B103" i="12" s="1"/>
  <c r="AE103" i="5"/>
  <c r="C104" i="5"/>
  <c r="T101" i="5"/>
  <c r="G101" i="12" s="1"/>
  <c r="AF15" i="13"/>
  <c r="AF22" i="13"/>
  <c r="AE23" i="13"/>
  <c r="AE18" i="13"/>
  <c r="AD20" i="13"/>
  <c r="AD21" i="13"/>
  <c r="AE16" i="13"/>
  <c r="AH101" i="6" l="1"/>
  <c r="AB101" i="6"/>
  <c r="AI101" i="6"/>
  <c r="AJ101" i="6"/>
  <c r="AE101" i="6"/>
  <c r="AF101" i="6"/>
  <c r="BD101" i="6"/>
  <c r="AG101" i="6"/>
  <c r="AP101" i="6"/>
  <c r="AK101" i="6"/>
  <c r="AD101" i="6"/>
  <c r="AC101" i="6"/>
  <c r="BE101" i="6"/>
  <c r="BA101" i="6"/>
  <c r="AT101" i="6"/>
  <c r="AN101" i="6"/>
  <c r="AO101" i="6"/>
  <c r="AU101" i="6"/>
  <c r="AQ101" i="6"/>
  <c r="AY101" i="6"/>
  <c r="BB101" i="6"/>
  <c r="AZ101" i="6"/>
  <c r="AM101" i="6"/>
  <c r="BC101" i="6"/>
  <c r="AS101" i="6"/>
  <c r="AX101" i="6"/>
  <c r="AV101" i="6"/>
  <c r="BG101" i="6"/>
  <c r="AR101" i="6"/>
  <c r="M102" i="6"/>
  <c r="AY102" i="6" s="1"/>
  <c r="K102" i="12"/>
  <c r="AD104" i="5"/>
  <c r="J104" i="5"/>
  <c r="F104" i="5"/>
  <c r="K104" i="5"/>
  <c r="B104" i="5"/>
  <c r="G104" i="5"/>
  <c r="AE104" i="5"/>
  <c r="C105" i="5"/>
  <c r="N104" i="5"/>
  <c r="D104" i="6" s="1"/>
  <c r="H104" i="5"/>
  <c r="D104" i="5"/>
  <c r="B104" i="12" s="1"/>
  <c r="E104" i="5"/>
  <c r="A104" i="12"/>
  <c r="B104" i="6"/>
  <c r="J103" i="12"/>
  <c r="L103" i="12"/>
  <c r="H103" i="6"/>
  <c r="T103" i="5" s="1"/>
  <c r="G103" i="12" s="1"/>
  <c r="A103" i="6"/>
  <c r="M103" i="6" s="1"/>
  <c r="BD103" i="6" s="1"/>
  <c r="T102" i="5"/>
  <c r="G102" i="12" s="1"/>
  <c r="AK102" i="6" l="1"/>
  <c r="AB102" i="6"/>
  <c r="AJ102" i="6"/>
  <c r="AI102" i="6"/>
  <c r="AG102" i="6"/>
  <c r="AM102" i="6"/>
  <c r="AV102" i="6"/>
  <c r="AF103" i="6"/>
  <c r="AE102" i="6"/>
  <c r="AQ102" i="6"/>
  <c r="BF102" i="6"/>
  <c r="AO102" i="6"/>
  <c r="BG102" i="6"/>
  <c r="AC102" i="6"/>
  <c r="AY103" i="6"/>
  <c r="AR102" i="6"/>
  <c r="K103" i="12"/>
  <c r="AT102" i="6"/>
  <c r="AP102" i="6"/>
  <c r="BD102" i="6"/>
  <c r="AD102" i="6"/>
  <c r="AF102" i="6"/>
  <c r="AZ102" i="6"/>
  <c r="AH102" i="6"/>
  <c r="AU102" i="6"/>
  <c r="AN102" i="6"/>
  <c r="BC102" i="6"/>
  <c r="BB102" i="6"/>
  <c r="AX102" i="6"/>
  <c r="BA102" i="6"/>
  <c r="BE102" i="6"/>
  <c r="AS102" i="6"/>
  <c r="E105" i="5"/>
  <c r="B105" i="6"/>
  <c r="N105" i="5"/>
  <c r="D105" i="6" s="1"/>
  <c r="AE105" i="5"/>
  <c r="C106" i="5"/>
  <c r="AD105" i="5"/>
  <c r="H105" i="5"/>
  <c r="D105" i="5"/>
  <c r="B105" i="12" s="1"/>
  <c r="A105" i="12"/>
  <c r="K105" i="5"/>
  <c r="G105" i="5"/>
  <c r="J105" i="5"/>
  <c r="B105" i="5"/>
  <c r="F105" i="5"/>
  <c r="AE103" i="6"/>
  <c r="AV103" i="6"/>
  <c r="AS103" i="6"/>
  <c r="AX103" i="6"/>
  <c r="AG103" i="6"/>
  <c r="AR103" i="6"/>
  <c r="AU103" i="6"/>
  <c r="AC103" i="6"/>
  <c r="AM103" i="6"/>
  <c r="BC103" i="6"/>
  <c r="AO103" i="6"/>
  <c r="AD103" i="6"/>
  <c r="AI103" i="6"/>
  <c r="BE103" i="6"/>
  <c r="AP103" i="6"/>
  <c r="AN103" i="6"/>
  <c r="AQ103" i="6"/>
  <c r="AH103" i="6"/>
  <c r="N103" i="6"/>
  <c r="BA103" i="6"/>
  <c r="BF103" i="6"/>
  <c r="A104" i="6"/>
  <c r="M104" i="6" s="1"/>
  <c r="BB103" i="6"/>
  <c r="AK103" i="6"/>
  <c r="BG103" i="6"/>
  <c r="AJ103" i="6"/>
  <c r="AT103" i="6"/>
  <c r="AB103" i="6"/>
  <c r="AZ103" i="6"/>
  <c r="J104" i="12"/>
  <c r="L104" i="12"/>
  <c r="H104" i="6"/>
  <c r="T104" i="5" s="1"/>
  <c r="G104" i="12" s="1"/>
  <c r="AK104" i="6" l="1"/>
  <c r="AO104" i="6"/>
  <c r="BE104" i="6"/>
  <c r="AQ104" i="6"/>
  <c r="AB104" i="6"/>
  <c r="AX104" i="6"/>
  <c r="AI104" i="6"/>
  <c r="AG104" i="6"/>
  <c r="BA104" i="6"/>
  <c r="H105" i="6"/>
  <c r="AT104" i="6"/>
  <c r="BC104" i="6"/>
  <c r="AJ104" i="6"/>
  <c r="AY104" i="6"/>
  <c r="BD104" i="6"/>
  <c r="N104" i="6"/>
  <c r="AM104" i="6"/>
  <c r="AC104" i="6"/>
  <c r="AH104" i="6"/>
  <c r="A105" i="6"/>
  <c r="N105" i="6" s="1"/>
  <c r="AN104" i="6"/>
  <c r="AD104" i="6"/>
  <c r="BF104" i="6"/>
  <c r="AV104" i="6"/>
  <c r="BB104" i="6"/>
  <c r="AF104" i="6"/>
  <c r="AS104" i="6"/>
  <c r="AE104" i="6"/>
  <c r="AU104" i="6"/>
  <c r="BG104" i="6"/>
  <c r="AZ104" i="6"/>
  <c r="AP104" i="6"/>
  <c r="AR104" i="6"/>
  <c r="K104" i="12"/>
  <c r="J105" i="12"/>
  <c r="L105" i="12"/>
  <c r="AE106" i="5"/>
  <c r="D106" i="5"/>
  <c r="B106" i="12" s="1"/>
  <c r="H106" i="5"/>
  <c r="C107" i="5"/>
  <c r="E106" i="5"/>
  <c r="K106" i="5"/>
  <c r="B106" i="6"/>
  <c r="B106" i="5"/>
  <c r="J106" i="5"/>
  <c r="AD106" i="5"/>
  <c r="N106" i="5"/>
  <c r="D106" i="6" s="1"/>
  <c r="G106" i="5"/>
  <c r="F106" i="5"/>
  <c r="A106" i="12"/>
  <c r="M105" i="6" l="1"/>
  <c r="AQ105" i="6" s="1"/>
  <c r="H106" i="6"/>
  <c r="T106" i="5" s="1"/>
  <c r="G106" i="12" s="1"/>
  <c r="L106" i="12"/>
  <c r="J106" i="12"/>
  <c r="A106" i="6"/>
  <c r="M106" i="6" s="1"/>
  <c r="AO106" i="6" s="1"/>
  <c r="K107" i="5"/>
  <c r="A107" i="12"/>
  <c r="B107" i="6"/>
  <c r="F107" i="5"/>
  <c r="G107" i="5"/>
  <c r="E107" i="5"/>
  <c r="B107" i="5"/>
  <c r="J107" i="5"/>
  <c r="N107" i="5"/>
  <c r="D107" i="6" s="1"/>
  <c r="AE107" i="5"/>
  <c r="C108" i="5"/>
  <c r="AD107" i="5"/>
  <c r="H107" i="5"/>
  <c r="D107" i="5"/>
  <c r="B107" i="12" s="1"/>
  <c r="K105" i="12"/>
  <c r="T105" i="5"/>
  <c r="G105" i="12" s="1"/>
  <c r="K81" i="5"/>
  <c r="AC105" i="6" l="1"/>
  <c r="AD105" i="6"/>
  <c r="AI105" i="6"/>
  <c r="AE105" i="6"/>
  <c r="AK105" i="6"/>
  <c r="AH105" i="6"/>
  <c r="AG105" i="6"/>
  <c r="AP105" i="6"/>
  <c r="AF105" i="6"/>
  <c r="AJ105" i="6"/>
  <c r="AB105" i="6"/>
  <c r="BD105" i="6"/>
  <c r="AV105" i="6"/>
  <c r="AR105" i="6"/>
  <c r="AU105" i="6"/>
  <c r="A107" i="6"/>
  <c r="N107" i="6" s="1"/>
  <c r="BG105" i="6"/>
  <c r="AN105" i="6"/>
  <c r="BB105" i="6"/>
  <c r="AX105" i="6"/>
  <c r="BE105" i="6"/>
  <c r="AO105" i="6"/>
  <c r="BA105" i="6"/>
  <c r="AM105" i="6"/>
  <c r="AZ105" i="6"/>
  <c r="BF105" i="6"/>
  <c r="K106" i="12"/>
  <c r="AS105" i="6"/>
  <c r="BC105" i="6"/>
  <c r="AT105" i="6"/>
  <c r="AY105" i="6"/>
  <c r="BD106" i="6"/>
  <c r="AP106" i="6"/>
  <c r="AG106" i="6"/>
  <c r="AY106" i="6"/>
  <c r="AF106" i="6"/>
  <c r="AR106" i="6"/>
  <c r="AI106" i="6"/>
  <c r="L107" i="12"/>
  <c r="J107" i="12"/>
  <c r="H107" i="6"/>
  <c r="AX106" i="6"/>
  <c r="AH106" i="6"/>
  <c r="BE106" i="6"/>
  <c r="AS106" i="6"/>
  <c r="AC106" i="6"/>
  <c r="N106" i="6"/>
  <c r="BA106" i="6"/>
  <c r="AK106" i="6"/>
  <c r="AJ106" i="6"/>
  <c r="BB106" i="6"/>
  <c r="AT106" i="6"/>
  <c r="AZ106" i="6"/>
  <c r="AE106" i="6"/>
  <c r="AN106" i="6"/>
  <c r="BC106" i="6"/>
  <c r="AD106" i="6"/>
  <c r="F108" i="5"/>
  <c r="K108" i="5"/>
  <c r="B108" i="6"/>
  <c r="B108" i="5"/>
  <c r="AD108" i="5"/>
  <c r="H108" i="5"/>
  <c r="E108" i="5"/>
  <c r="D108" i="5"/>
  <c r="B108" i="12" s="1"/>
  <c r="AE108" i="5"/>
  <c r="A108" i="12"/>
  <c r="N108" i="5"/>
  <c r="D108" i="6" s="1"/>
  <c r="G108" i="5"/>
  <c r="J108" i="5"/>
  <c r="C109" i="5"/>
  <c r="AV106" i="6"/>
  <c r="AB106" i="6"/>
  <c r="AM106" i="6"/>
  <c r="BF106" i="6"/>
  <c r="AQ106" i="6"/>
  <c r="AU106" i="6"/>
  <c r="BG106" i="6"/>
  <c r="M107" i="6" l="1"/>
  <c r="AP107" i="6" s="1"/>
  <c r="K107" i="12"/>
  <c r="H108" i="6"/>
  <c r="A108" i="6"/>
  <c r="N108" i="6" s="1"/>
  <c r="T107" i="5"/>
  <c r="G107" i="12" s="1"/>
  <c r="AE109" i="5"/>
  <c r="B109" i="6"/>
  <c r="E109" i="5"/>
  <c r="F109" i="5"/>
  <c r="B109" i="5"/>
  <c r="G109" i="5"/>
  <c r="N109" i="5"/>
  <c r="D109" i="6" s="1"/>
  <c r="H109" i="5"/>
  <c r="A109" i="12"/>
  <c r="D109" i="5"/>
  <c r="B109" i="12" s="1"/>
  <c r="AD109" i="5"/>
  <c r="J109" i="5"/>
  <c r="K109" i="5"/>
  <c r="C110" i="5"/>
  <c r="L108" i="12"/>
  <c r="J108" i="12"/>
  <c r="AD107" i="6" l="1"/>
  <c r="AV107" i="6"/>
  <c r="BB107" i="6"/>
  <c r="AT107" i="6"/>
  <c r="AE107" i="6"/>
  <c r="AS107" i="6"/>
  <c r="AB107" i="6"/>
  <c r="AR107" i="6"/>
  <c r="AU107" i="6"/>
  <c r="AH107" i="6"/>
  <c r="AQ107" i="6"/>
  <c r="BA107" i="6"/>
  <c r="AC107" i="6"/>
  <c r="AJ107" i="6"/>
  <c r="AX107" i="6"/>
  <c r="BF107" i="6"/>
  <c r="BD107" i="6"/>
  <c r="AK107" i="6"/>
  <c r="AI107" i="6"/>
  <c r="AF107" i="6"/>
  <c r="AG107" i="6"/>
  <c r="AY107" i="6"/>
  <c r="AO107" i="6"/>
  <c r="AN107" i="6"/>
  <c r="AZ107" i="6"/>
  <c r="BE107" i="6"/>
  <c r="AM107" i="6"/>
  <c r="BG107" i="6"/>
  <c r="BC107" i="6"/>
  <c r="M108" i="6"/>
  <c r="AH108" i="6" s="1"/>
  <c r="A109" i="6"/>
  <c r="M109" i="6" s="1"/>
  <c r="AN109" i="6" s="1"/>
  <c r="K108" i="12"/>
  <c r="E110" i="5"/>
  <c r="AD110" i="5"/>
  <c r="C111" i="5"/>
  <c r="K110" i="5"/>
  <c r="G110" i="5"/>
  <c r="H110" i="5"/>
  <c r="F110" i="5"/>
  <c r="AE110" i="5"/>
  <c r="A110" i="12"/>
  <c r="B110" i="5"/>
  <c r="J110" i="5"/>
  <c r="B110" i="6"/>
  <c r="D110" i="5"/>
  <c r="B110" i="12" s="1"/>
  <c r="N110" i="5"/>
  <c r="D110" i="6" s="1"/>
  <c r="L109" i="12"/>
  <c r="J109" i="12"/>
  <c r="T108" i="5"/>
  <c r="G108" i="12" s="1"/>
  <c r="H109" i="6"/>
  <c r="T109" i="5" s="1"/>
  <c r="G109" i="12" s="1"/>
  <c r="E151" i="12"/>
  <c r="F151" i="6"/>
  <c r="BD109" i="6" l="1"/>
  <c r="AY109" i="6"/>
  <c r="AC108" i="6"/>
  <c r="AQ109" i="6"/>
  <c r="AZ108" i="6"/>
  <c r="AB108" i="6"/>
  <c r="AY108" i="6"/>
  <c r="AG108" i="6"/>
  <c r="BB108" i="6"/>
  <c r="BA109" i="6"/>
  <c r="AU109" i="6"/>
  <c r="BF109" i="6"/>
  <c r="AT109" i="6"/>
  <c r="N109" i="6"/>
  <c r="BG109" i="6"/>
  <c r="BB109" i="6"/>
  <c r="AJ108" i="6"/>
  <c r="AP108" i="6"/>
  <c r="AR108" i="6"/>
  <c r="AV108" i="6"/>
  <c r="BG108" i="6"/>
  <c r="AQ108" i="6"/>
  <c r="BE109" i="6"/>
  <c r="AV109" i="6"/>
  <c r="AM109" i="6"/>
  <c r="AO109" i="6"/>
  <c r="AP109" i="6"/>
  <c r="AI108" i="6"/>
  <c r="AK108" i="6"/>
  <c r="AM108" i="6"/>
  <c r="AD108" i="6"/>
  <c r="AS109" i="6"/>
  <c r="BC109" i="6"/>
  <c r="AR109" i="6"/>
  <c r="AX109" i="6"/>
  <c r="AZ109" i="6"/>
  <c r="AF108" i="6"/>
  <c r="AE108" i="6"/>
  <c r="BE108" i="6"/>
  <c r="AO108" i="6"/>
  <c r="BC108" i="6"/>
  <c r="BD108" i="6"/>
  <c r="AT108" i="6"/>
  <c r="BA108" i="6"/>
  <c r="AU108" i="6"/>
  <c r="AH109" i="6"/>
  <c r="AX108" i="6"/>
  <c r="AN108" i="6"/>
  <c r="AS108" i="6"/>
  <c r="BF108" i="6"/>
  <c r="A110" i="6"/>
  <c r="M110" i="6" s="1"/>
  <c r="AN110" i="6" s="1"/>
  <c r="AB109" i="6"/>
  <c r="AF109" i="6"/>
  <c r="AD109" i="6"/>
  <c r="K109" i="12"/>
  <c r="E111" i="5"/>
  <c r="J111" i="5"/>
  <c r="B111" i="5"/>
  <c r="C112" i="5"/>
  <c r="AD111" i="5"/>
  <c r="K111" i="5"/>
  <c r="D111" i="5"/>
  <c r="B111" i="12" s="1"/>
  <c r="B111" i="6"/>
  <c r="H111" i="5"/>
  <c r="A111" i="12"/>
  <c r="G111" i="5"/>
  <c r="F111" i="5"/>
  <c r="AE111" i="5"/>
  <c r="N111" i="5"/>
  <c r="D111" i="6" s="1"/>
  <c r="AE109" i="6"/>
  <c r="AJ109" i="6"/>
  <c r="AI109" i="6"/>
  <c r="H110" i="6"/>
  <c r="T110" i="5" s="1"/>
  <c r="G110" i="12" s="1"/>
  <c r="AC109" i="6"/>
  <c r="AK109" i="6"/>
  <c r="AG109" i="6"/>
  <c r="L110" i="12"/>
  <c r="J110" i="12"/>
  <c r="AH110" i="6" l="1"/>
  <c r="AR110" i="6"/>
  <c r="BG110" i="6"/>
  <c r="AP110" i="6"/>
  <c r="AF110" i="6"/>
  <c r="N110" i="6"/>
  <c r="BC110" i="6"/>
  <c r="AY110" i="6"/>
  <c r="AI110" i="6"/>
  <c r="AD110" i="6"/>
  <c r="A111" i="6"/>
  <c r="N111" i="6" s="1"/>
  <c r="BB110" i="6"/>
  <c r="AT110" i="6"/>
  <c r="AC110" i="6"/>
  <c r="AZ110" i="6"/>
  <c r="AQ110" i="6"/>
  <c r="AE110" i="6"/>
  <c r="AM110" i="6"/>
  <c r="BD110" i="6"/>
  <c r="BE110" i="6"/>
  <c r="AJ110" i="6"/>
  <c r="AS110" i="6"/>
  <c r="AV110" i="6"/>
  <c r="K110" i="12"/>
  <c r="AK110" i="6"/>
  <c r="AX110" i="6"/>
  <c r="AG110" i="6"/>
  <c r="AU110" i="6"/>
  <c r="BF110" i="6"/>
  <c r="BA110" i="6"/>
  <c r="AB110" i="6"/>
  <c r="AO110" i="6"/>
  <c r="C113" i="5"/>
  <c r="A112" i="12"/>
  <c r="B112" i="6"/>
  <c r="N112" i="5"/>
  <c r="D112" i="6" s="1"/>
  <c r="AD112" i="5"/>
  <c r="J112" i="5"/>
  <c r="B112" i="5"/>
  <c r="H112" i="5"/>
  <c r="F112" i="5"/>
  <c r="G112" i="5"/>
  <c r="K112" i="5"/>
  <c r="D112" i="5"/>
  <c r="B112" i="12" s="1"/>
  <c r="AE112" i="5"/>
  <c r="E112" i="5"/>
  <c r="H111" i="6"/>
  <c r="J111" i="12"/>
  <c r="L111" i="12"/>
  <c r="M111" i="6" l="1"/>
  <c r="AR111" i="6" s="1"/>
  <c r="H112" i="6"/>
  <c r="A112" i="6"/>
  <c r="N112" i="6" s="1"/>
  <c r="T111" i="5"/>
  <c r="G111" i="12" s="1"/>
  <c r="K111" i="12"/>
  <c r="L112" i="12"/>
  <c r="J112" i="12"/>
  <c r="K113" i="5"/>
  <c r="N113" i="5"/>
  <c r="D113" i="6" s="1"/>
  <c r="D113" i="5"/>
  <c r="B113" i="12" s="1"/>
  <c r="AD113" i="5"/>
  <c r="E113" i="5"/>
  <c r="F113" i="5"/>
  <c r="C114" i="5"/>
  <c r="G113" i="5"/>
  <c r="B113" i="6"/>
  <c r="H113" i="5"/>
  <c r="J113" i="5"/>
  <c r="B113" i="5"/>
  <c r="AE113" i="5"/>
  <c r="A113" i="12"/>
  <c r="BD111" i="6" l="1"/>
  <c r="AE111" i="6"/>
  <c r="AI111" i="6"/>
  <c r="AX111" i="6"/>
  <c r="AG111" i="6"/>
  <c r="AU111" i="6"/>
  <c r="AF111" i="6"/>
  <c r="AS111" i="6"/>
  <c r="AD111" i="6"/>
  <c r="AH111" i="6"/>
  <c r="AO111" i="6"/>
  <c r="BE111" i="6"/>
  <c r="AC111" i="6"/>
  <c r="AJ111" i="6"/>
  <c r="AM111" i="6"/>
  <c r="AK111" i="6"/>
  <c r="AB111" i="6"/>
  <c r="AP111" i="6"/>
  <c r="AV111" i="6"/>
  <c r="BF111" i="6"/>
  <c r="AQ111" i="6"/>
  <c r="AN111" i="6"/>
  <c r="AZ111" i="6"/>
  <c r="BB111" i="6"/>
  <c r="BG111" i="6"/>
  <c r="BC111" i="6"/>
  <c r="BA111" i="6"/>
  <c r="AY111" i="6"/>
  <c r="AT111" i="6"/>
  <c r="K114" i="5"/>
  <c r="J114" i="5"/>
  <c r="AD114" i="5"/>
  <c r="F114" i="5"/>
  <c r="N114" i="5"/>
  <c r="D114" i="6" s="1"/>
  <c r="AE114" i="5"/>
  <c r="E114" i="5"/>
  <c r="A114" i="12"/>
  <c r="C115" i="5"/>
  <c r="H114" i="5"/>
  <c r="G114" i="5"/>
  <c r="B114" i="5"/>
  <c r="D114" i="5"/>
  <c r="B114" i="12" s="1"/>
  <c r="B114" i="6"/>
  <c r="L113" i="12"/>
  <c r="J113" i="12"/>
  <c r="H113" i="6"/>
  <c r="M112" i="6"/>
  <c r="AG112" i="6" s="1"/>
  <c r="K112" i="12"/>
  <c r="A113" i="6"/>
  <c r="N113" i="6" s="1"/>
  <c r="T112" i="5"/>
  <c r="G112" i="12" s="1"/>
  <c r="AP112" i="6" l="1"/>
  <c r="AY112" i="6"/>
  <c r="BF112" i="6"/>
  <c r="BG112" i="6"/>
  <c r="AT112" i="6"/>
  <c r="AU112" i="6"/>
  <c r="AS112" i="6"/>
  <c r="AM112" i="6"/>
  <c r="AF112" i="6"/>
  <c r="AV112" i="6"/>
  <c r="AC112" i="6"/>
  <c r="AZ112" i="6"/>
  <c r="AO112" i="6"/>
  <c r="BB112" i="6"/>
  <c r="BE112" i="6"/>
  <c r="BC112" i="6"/>
  <c r="AD112" i="6"/>
  <c r="AI112" i="6"/>
  <c r="BA112" i="6"/>
  <c r="AN112" i="6"/>
  <c r="AX112" i="6"/>
  <c r="BD112" i="6"/>
  <c r="AR112" i="6"/>
  <c r="AJ112" i="6"/>
  <c r="AQ112" i="6"/>
  <c r="AH112" i="6"/>
  <c r="K113" i="12"/>
  <c r="J114" i="12"/>
  <c r="L114" i="12"/>
  <c r="AB112" i="6"/>
  <c r="AE112" i="6"/>
  <c r="M113" i="6"/>
  <c r="A114" i="6"/>
  <c r="M114" i="6" s="1"/>
  <c r="AK112" i="6"/>
  <c r="T113" i="5"/>
  <c r="G113" i="12" s="1"/>
  <c r="A115" i="12"/>
  <c r="H115" i="5"/>
  <c r="K115" i="5"/>
  <c r="E115" i="5"/>
  <c r="AD115" i="5"/>
  <c r="F115" i="5"/>
  <c r="D115" i="5"/>
  <c r="B115" i="12" s="1"/>
  <c r="B115" i="6"/>
  <c r="AE115" i="5"/>
  <c r="G115" i="5"/>
  <c r="J115" i="5"/>
  <c r="B115" i="5"/>
  <c r="C116" i="5" s="1"/>
  <c r="N115" i="5"/>
  <c r="D115" i="6" s="1"/>
  <c r="H114" i="6"/>
  <c r="AD116" i="5" l="1"/>
  <c r="AE116" i="5"/>
  <c r="N116" i="5"/>
  <c r="D116" i="6" s="1"/>
  <c r="A116" i="12"/>
  <c r="W116" i="5"/>
  <c r="H116" i="12" s="1"/>
  <c r="B116" i="6"/>
  <c r="F116" i="6"/>
  <c r="G116" i="5"/>
  <c r="F116" i="5"/>
  <c r="E116" i="5"/>
  <c r="H116" i="5"/>
  <c r="C117" i="5"/>
  <c r="I117" i="5" s="1"/>
  <c r="B116" i="5"/>
  <c r="E116" i="12"/>
  <c r="N114" i="6"/>
  <c r="A115" i="6"/>
  <c r="N115" i="6" s="1"/>
  <c r="AZ113" i="6"/>
  <c r="AT113" i="6"/>
  <c r="BD113" i="6"/>
  <c r="AN113" i="6"/>
  <c r="BE113" i="6"/>
  <c r="AP113" i="6"/>
  <c r="AV113" i="6"/>
  <c r="BC113" i="6"/>
  <c r="BF113" i="6"/>
  <c r="AO113" i="6"/>
  <c r="AU113" i="6"/>
  <c r="BA113" i="6"/>
  <c r="AM113" i="6"/>
  <c r="AS113" i="6"/>
  <c r="BB113" i="6"/>
  <c r="AR113" i="6"/>
  <c r="BG113" i="6"/>
  <c r="AY113" i="6"/>
  <c r="AQ113" i="6"/>
  <c r="AX113" i="6"/>
  <c r="T114" i="5"/>
  <c r="G114" i="12" s="1"/>
  <c r="AG114" i="6"/>
  <c r="AF114" i="6"/>
  <c r="AB114" i="6"/>
  <c r="AK114" i="6"/>
  <c r="AD114" i="6"/>
  <c r="AH114" i="6"/>
  <c r="AC114" i="6"/>
  <c r="AE114" i="6"/>
  <c r="AI114" i="6"/>
  <c r="AJ114" i="6"/>
  <c r="AK113" i="6"/>
  <c r="AD113" i="6"/>
  <c r="AJ113" i="6"/>
  <c r="AF113" i="6"/>
  <c r="AI113" i="6"/>
  <c r="H115" i="6"/>
  <c r="L115" i="12"/>
  <c r="J115" i="12"/>
  <c r="AC113" i="6"/>
  <c r="AE113" i="6"/>
  <c r="BC114" i="6"/>
  <c r="BA114" i="6"/>
  <c r="BG114" i="6"/>
  <c r="AV114" i="6"/>
  <c r="AS114" i="6"/>
  <c r="AX114" i="6"/>
  <c r="BB114" i="6"/>
  <c r="AN114" i="6"/>
  <c r="AT114" i="6"/>
  <c r="AR114" i="6"/>
  <c r="AU114" i="6"/>
  <c r="BF114" i="6"/>
  <c r="AY114" i="6"/>
  <c r="AO114" i="6"/>
  <c r="BD114" i="6"/>
  <c r="AM114" i="6"/>
  <c r="AZ114" i="6"/>
  <c r="AP114" i="6"/>
  <c r="AQ114" i="6"/>
  <c r="BE114" i="6"/>
  <c r="AG113" i="6"/>
  <c r="AB113" i="6"/>
  <c r="AH113" i="6"/>
  <c r="K114" i="12"/>
  <c r="A117" i="12" l="1"/>
  <c r="G117" i="5"/>
  <c r="B117" i="6"/>
  <c r="A117" i="6" s="1"/>
  <c r="H117" i="5"/>
  <c r="AE117" i="5"/>
  <c r="N117" i="5"/>
  <c r="D117" i="6" s="1"/>
  <c r="AY117" i="6" s="1"/>
  <c r="C118" i="5"/>
  <c r="A118" i="12" s="1"/>
  <c r="E117" i="5"/>
  <c r="B117" i="5"/>
  <c r="W117" i="5"/>
  <c r="H117" i="12" s="1"/>
  <c r="F117" i="5"/>
  <c r="AD117" i="5"/>
  <c r="G116" i="6"/>
  <c r="H116" i="6"/>
  <c r="T116" i="5" s="1"/>
  <c r="G116" i="12" s="1"/>
  <c r="A116" i="6"/>
  <c r="N116" i="6" s="1"/>
  <c r="M115" i="6"/>
  <c r="AS115" i="6" s="1"/>
  <c r="K115" i="12"/>
  <c r="T115" i="5"/>
  <c r="G115" i="12" s="1"/>
  <c r="BC117" i="6" l="1"/>
  <c r="AN117" i="6"/>
  <c r="J118" i="5"/>
  <c r="N117" i="6"/>
  <c r="H117" i="6"/>
  <c r="BB117" i="6"/>
  <c r="AQ117" i="6"/>
  <c r="BD117" i="6"/>
  <c r="BE117" i="6"/>
  <c r="F118" i="5"/>
  <c r="AT117" i="6"/>
  <c r="AX117" i="6"/>
  <c r="C119" i="5"/>
  <c r="B119" i="6" s="1"/>
  <c r="M117" i="6"/>
  <c r="BF117" i="6" s="1"/>
  <c r="AO117" i="6"/>
  <c r="AS117" i="6"/>
  <c r="E118" i="5"/>
  <c r="AP117" i="6"/>
  <c r="AU117" i="6"/>
  <c r="G117" i="6"/>
  <c r="AV117" i="6"/>
  <c r="AE118" i="5"/>
  <c r="AD118" i="5"/>
  <c r="K118" i="5"/>
  <c r="D118" i="5"/>
  <c r="B118" i="12" s="1"/>
  <c r="G118" i="5"/>
  <c r="BG117" i="6"/>
  <c r="BA117" i="6"/>
  <c r="AR117" i="6"/>
  <c r="AZ117" i="6"/>
  <c r="AM117" i="6"/>
  <c r="B118" i="5"/>
  <c r="N118" i="5"/>
  <c r="D118" i="6" s="1"/>
  <c r="H118" i="6" s="1"/>
  <c r="H118" i="5"/>
  <c r="B118" i="6"/>
  <c r="M116" i="6"/>
  <c r="AD116" i="6" s="1"/>
  <c r="AJ115" i="6"/>
  <c r="BG115" i="6"/>
  <c r="AF115" i="6"/>
  <c r="AZ115" i="6"/>
  <c r="AQ115" i="6"/>
  <c r="AD115" i="6"/>
  <c r="AU115" i="6"/>
  <c r="AI115" i="6"/>
  <c r="AC115" i="6"/>
  <c r="AY115" i="6"/>
  <c r="AT115" i="6"/>
  <c r="BC115" i="6"/>
  <c r="BE115" i="6"/>
  <c r="BD115" i="6"/>
  <c r="AH115" i="6"/>
  <c r="AK115" i="6"/>
  <c r="AN115" i="6"/>
  <c r="AX115" i="6"/>
  <c r="AP115" i="6"/>
  <c r="BA115" i="6"/>
  <c r="AO115" i="6"/>
  <c r="AG115" i="6"/>
  <c r="BB115" i="6"/>
  <c r="AE115" i="6"/>
  <c r="AB115" i="6"/>
  <c r="AV115" i="6"/>
  <c r="BF115" i="6"/>
  <c r="AM115" i="6"/>
  <c r="AR115" i="6"/>
  <c r="J118" i="12"/>
  <c r="L118" i="12"/>
  <c r="A119" i="12" l="1"/>
  <c r="J119" i="12" s="1"/>
  <c r="AC117" i="6"/>
  <c r="AE119" i="5"/>
  <c r="T117" i="5"/>
  <c r="G117" i="12" s="1"/>
  <c r="AD117" i="6"/>
  <c r="B119" i="5"/>
  <c r="K119" i="5"/>
  <c r="C120" i="5"/>
  <c r="A120" i="12" s="1"/>
  <c r="F119" i="5"/>
  <c r="H119" i="5"/>
  <c r="G119" i="5"/>
  <c r="N119" i="5"/>
  <c r="D119" i="6" s="1"/>
  <c r="H119" i="6" s="1"/>
  <c r="D119" i="5"/>
  <c r="B119" i="12" s="1"/>
  <c r="AD119" i="5"/>
  <c r="AB117" i="6"/>
  <c r="AJ117" i="6"/>
  <c r="AK117" i="6"/>
  <c r="AF117" i="6"/>
  <c r="J119" i="5"/>
  <c r="E119" i="5"/>
  <c r="AH117" i="6"/>
  <c r="AE117" i="6"/>
  <c r="AI117" i="6"/>
  <c r="AG117" i="6"/>
  <c r="A118" i="6"/>
  <c r="M118" i="6" s="1"/>
  <c r="AU118" i="6" s="1"/>
  <c r="AI116" i="6"/>
  <c r="AH116" i="6"/>
  <c r="AE116" i="6"/>
  <c r="AJ116" i="6"/>
  <c r="BE116" i="6"/>
  <c r="AN116" i="6"/>
  <c r="BD116" i="6"/>
  <c r="AM116" i="6"/>
  <c r="BF116" i="6"/>
  <c r="AO116" i="6"/>
  <c r="AT116" i="6"/>
  <c r="AC116" i="6"/>
  <c r="BA116" i="6"/>
  <c r="AZ116" i="6"/>
  <c r="BB116" i="6"/>
  <c r="BG116" i="6"/>
  <c r="AP116" i="6"/>
  <c r="AV116" i="6"/>
  <c r="AU116" i="6"/>
  <c r="AX116" i="6"/>
  <c r="AF116" i="6"/>
  <c r="BC116" i="6"/>
  <c r="AK116" i="6"/>
  <c r="AR116" i="6"/>
  <c r="AQ116" i="6"/>
  <c r="AS116" i="6"/>
  <c r="AB116" i="6"/>
  <c r="AY116" i="6"/>
  <c r="AG116" i="6"/>
  <c r="K118" i="12"/>
  <c r="T118" i="5"/>
  <c r="G118" i="12" s="1"/>
  <c r="L119" i="12" l="1"/>
  <c r="K119" i="12" s="1"/>
  <c r="G120" i="5"/>
  <c r="AD120" i="5"/>
  <c r="C121" i="5"/>
  <c r="D121" i="5" s="1"/>
  <c r="B121" i="12" s="1"/>
  <c r="AE120" i="5"/>
  <c r="B120" i="6"/>
  <c r="D120" i="5"/>
  <c r="B120" i="12" s="1"/>
  <c r="H120" i="5"/>
  <c r="J120" i="5"/>
  <c r="F120" i="5"/>
  <c r="E120" i="5"/>
  <c r="N120" i="5"/>
  <c r="D120" i="6" s="1"/>
  <c r="H120" i="6" s="1"/>
  <c r="T120" i="5" s="1"/>
  <c r="G120" i="12" s="1"/>
  <c r="K120" i="5"/>
  <c r="B120" i="5"/>
  <c r="A119" i="6"/>
  <c r="N119" i="6" s="1"/>
  <c r="BB118" i="6"/>
  <c r="AM118" i="6"/>
  <c r="AE118" i="6"/>
  <c r="AT118" i="6"/>
  <c r="AB118" i="6"/>
  <c r="AF118" i="6"/>
  <c r="BG118" i="6"/>
  <c r="AS118" i="6"/>
  <c r="AY118" i="6"/>
  <c r="BD118" i="6"/>
  <c r="AX118" i="6"/>
  <c r="AZ118" i="6"/>
  <c r="AO118" i="6"/>
  <c r="AC118" i="6"/>
  <c r="AG118" i="6"/>
  <c r="AI118" i="6"/>
  <c r="AP118" i="6"/>
  <c r="BF118" i="6"/>
  <c r="AR118" i="6"/>
  <c r="AV118" i="6"/>
  <c r="BC118" i="6"/>
  <c r="N118" i="6"/>
  <c r="AH118" i="6"/>
  <c r="AK118" i="6"/>
  <c r="AD118" i="6"/>
  <c r="AJ118" i="6"/>
  <c r="AQ118" i="6"/>
  <c r="AN118" i="6"/>
  <c r="BE118" i="6"/>
  <c r="BA118" i="6"/>
  <c r="L120" i="12"/>
  <c r="J120" i="12"/>
  <c r="T119" i="5"/>
  <c r="G119" i="12" s="1"/>
  <c r="N121" i="5" l="1"/>
  <c r="D121" i="6" s="1"/>
  <c r="H121" i="6" s="1"/>
  <c r="G121" i="5"/>
  <c r="AE121" i="5"/>
  <c r="H121" i="5"/>
  <c r="B121" i="6"/>
  <c r="AD121" i="5"/>
  <c r="A121" i="12"/>
  <c r="J121" i="12" s="1"/>
  <c r="J121" i="5"/>
  <c r="K121" i="5"/>
  <c r="F121" i="5"/>
  <c r="E121" i="5"/>
  <c r="M119" i="6"/>
  <c r="AD119" i="6" s="1"/>
  <c r="B121" i="5"/>
  <c r="C122" i="5" s="1"/>
  <c r="A120" i="6"/>
  <c r="N120" i="6" s="1"/>
  <c r="F122" i="6"/>
  <c r="E122" i="12"/>
  <c r="K120" i="12"/>
  <c r="L121" i="12" l="1"/>
  <c r="K121" i="12" s="1"/>
  <c r="AD122" i="5"/>
  <c r="AH119" i="6"/>
  <c r="H122" i="5"/>
  <c r="F122" i="5"/>
  <c r="B122" i="5"/>
  <c r="AJ119" i="6"/>
  <c r="AB119" i="6"/>
  <c r="A122" i="12"/>
  <c r="BF119" i="6"/>
  <c r="AE119" i="6"/>
  <c r="AY119" i="6"/>
  <c r="AX119" i="6"/>
  <c r="BB119" i="6"/>
  <c r="AT119" i="6"/>
  <c r="AN119" i="6"/>
  <c r="BE119" i="6"/>
  <c r="BC119" i="6"/>
  <c r="BD119" i="6"/>
  <c r="AK119" i="6"/>
  <c r="BA119" i="6"/>
  <c r="AO119" i="6"/>
  <c r="AS119" i="6"/>
  <c r="AU119" i="6"/>
  <c r="AV119" i="6"/>
  <c r="BG119" i="6"/>
  <c r="AG119" i="6"/>
  <c r="AI119" i="6"/>
  <c r="AC119" i="6"/>
  <c r="AZ119" i="6"/>
  <c r="AP119" i="6"/>
  <c r="AR119" i="6"/>
  <c r="AM119" i="6"/>
  <c r="AQ119" i="6"/>
  <c r="AF119" i="6"/>
  <c r="M120" i="6"/>
  <c r="AU120" i="6" s="1"/>
  <c r="A121" i="6"/>
  <c r="N121" i="6" s="1"/>
  <c r="N122" i="5"/>
  <c r="D122" i="6" s="1"/>
  <c r="G122" i="6" s="1"/>
  <c r="G122" i="5"/>
  <c r="C123" i="5"/>
  <c r="B123" i="6" s="1"/>
  <c r="A123" i="6" s="1"/>
  <c r="B122" i="6"/>
  <c r="A122" i="6" s="1"/>
  <c r="W122" i="5"/>
  <c r="H122" i="12" s="1"/>
  <c r="E122" i="5"/>
  <c r="AE122" i="5"/>
  <c r="T121" i="5"/>
  <c r="G121" i="12" s="1"/>
  <c r="N123" i="5" l="1"/>
  <c r="D123" i="6" s="1"/>
  <c r="M123" i="6" s="1"/>
  <c r="BB120" i="6"/>
  <c r="AO120" i="6"/>
  <c r="AH120" i="6"/>
  <c r="AD120" i="6"/>
  <c r="AI120" i="6"/>
  <c r="AS120" i="6"/>
  <c r="M121" i="6"/>
  <c r="BG121" i="6" s="1"/>
  <c r="AQ120" i="6"/>
  <c r="AN120" i="6"/>
  <c r="F123" i="5"/>
  <c r="M122" i="6"/>
  <c r="BE122" i="6" s="1"/>
  <c r="N122" i="6"/>
  <c r="AG120" i="6"/>
  <c r="AP120" i="6"/>
  <c r="AR120" i="6"/>
  <c r="AX120" i="6"/>
  <c r="BF120" i="6"/>
  <c r="AJ120" i="6"/>
  <c r="AY120" i="6"/>
  <c r="G123" i="5"/>
  <c r="I123" i="5"/>
  <c r="E123" i="5"/>
  <c r="BG120" i="6"/>
  <c r="BC120" i="6"/>
  <c r="BD120" i="6"/>
  <c r="AC120" i="6"/>
  <c r="AZ120" i="6"/>
  <c r="AB120" i="6"/>
  <c r="AF120" i="6"/>
  <c r="C124" i="5"/>
  <c r="J124" i="5" s="1"/>
  <c r="H123" i="5"/>
  <c r="AV120" i="6"/>
  <c r="AM120" i="6"/>
  <c r="AT120" i="6"/>
  <c r="BE120" i="6"/>
  <c r="AE120" i="6"/>
  <c r="AK120" i="6"/>
  <c r="BA120" i="6"/>
  <c r="AD123" i="5"/>
  <c r="B123" i="5"/>
  <c r="AE123" i="5"/>
  <c r="A123" i="12"/>
  <c r="W123" i="5"/>
  <c r="H123" i="12" s="1"/>
  <c r="H122" i="6"/>
  <c r="T122" i="5" s="1"/>
  <c r="G122" i="12" s="1"/>
  <c r="BC122" i="6"/>
  <c r="AX122" i="6"/>
  <c r="AU122" i="6"/>
  <c r="AV122" i="6"/>
  <c r="AP122" i="6"/>
  <c r="BG122" i="6"/>
  <c r="BB122" i="6"/>
  <c r="AZ122" i="6"/>
  <c r="BA122" i="6"/>
  <c r="AY122" i="6"/>
  <c r="AS122" i="6"/>
  <c r="AQ122" i="6"/>
  <c r="AR122" i="6"/>
  <c r="AT122" i="6"/>
  <c r="AO122" i="6"/>
  <c r="BF122" i="6"/>
  <c r="AM122" i="6"/>
  <c r="BD122" i="6"/>
  <c r="AN122" i="6"/>
  <c r="A124" i="12" l="1"/>
  <c r="L124" i="12" s="1"/>
  <c r="AV123" i="6"/>
  <c r="AS123" i="6"/>
  <c r="H123" i="6"/>
  <c r="AK123" i="6" s="1"/>
  <c r="AN123" i="6"/>
  <c r="N123" i="6"/>
  <c r="AY123" i="6"/>
  <c r="AR123" i="6"/>
  <c r="AZ123" i="6"/>
  <c r="BD123" i="6"/>
  <c r="AX123" i="6"/>
  <c r="AQ123" i="6"/>
  <c r="BA123" i="6"/>
  <c r="G123" i="6"/>
  <c r="BG123" i="6"/>
  <c r="BF123" i="6"/>
  <c r="AO123" i="6"/>
  <c r="BB123" i="6"/>
  <c r="BC123" i="6"/>
  <c r="AU123" i="6"/>
  <c r="AP123" i="6"/>
  <c r="BE123" i="6"/>
  <c r="AM123" i="6"/>
  <c r="AT123" i="6"/>
  <c r="AD124" i="5"/>
  <c r="AE124" i="5"/>
  <c r="AM121" i="6"/>
  <c r="BD121" i="6"/>
  <c r="AV121" i="6"/>
  <c r="BF121" i="6"/>
  <c r="AU121" i="6"/>
  <c r="AC121" i="6"/>
  <c r="AQ121" i="6"/>
  <c r="BA121" i="6"/>
  <c r="AK121" i="6"/>
  <c r="AT121" i="6"/>
  <c r="AS121" i="6"/>
  <c r="AD121" i="6"/>
  <c r="BC121" i="6"/>
  <c r="AG121" i="6"/>
  <c r="AO121" i="6"/>
  <c r="AB121" i="6"/>
  <c r="AZ121" i="6"/>
  <c r="AJ121" i="6"/>
  <c r="AF121" i="6"/>
  <c r="AI121" i="6"/>
  <c r="BE121" i="6"/>
  <c r="AN121" i="6"/>
  <c r="AH121" i="6"/>
  <c r="BB121" i="6"/>
  <c r="AP121" i="6"/>
  <c r="AR121" i="6"/>
  <c r="AX121" i="6"/>
  <c r="AE121" i="6"/>
  <c r="AY121" i="6"/>
  <c r="AC122" i="6"/>
  <c r="AB122" i="6"/>
  <c r="C125" i="5"/>
  <c r="A125" i="12" s="1"/>
  <c r="L125" i="12" s="1"/>
  <c r="F124" i="5"/>
  <c r="B124" i="6"/>
  <c r="D124" i="5"/>
  <c r="B124" i="12" s="1"/>
  <c r="B124" i="5"/>
  <c r="H124" i="5"/>
  <c r="G124" i="5"/>
  <c r="K124" i="5"/>
  <c r="E124" i="5"/>
  <c r="N124" i="5"/>
  <c r="D124" i="6" s="1"/>
  <c r="H124" i="6" s="1"/>
  <c r="T124" i="5" s="1"/>
  <c r="G124" i="12" s="1"/>
  <c r="AF122" i="6"/>
  <c r="AJ122" i="6"/>
  <c r="AE122" i="6"/>
  <c r="AI122" i="6"/>
  <c r="AG122" i="6"/>
  <c r="AH122" i="6"/>
  <c r="AD122" i="6"/>
  <c r="AK122" i="6"/>
  <c r="J124" i="12" l="1"/>
  <c r="K124" i="12" s="1"/>
  <c r="AB123" i="6"/>
  <c r="AD123" i="6"/>
  <c r="AI123" i="6"/>
  <c r="AC123" i="6"/>
  <c r="T123" i="5"/>
  <c r="G123" i="12" s="1"/>
  <c r="AE123" i="6"/>
  <c r="AH123" i="6"/>
  <c r="AG123" i="6"/>
  <c r="AJ123" i="6"/>
  <c r="AF123" i="6"/>
  <c r="C126" i="5"/>
  <c r="A126" i="12" s="1"/>
  <c r="L126" i="12" s="1"/>
  <c r="E125" i="5"/>
  <c r="F125" i="5"/>
  <c r="G125" i="5"/>
  <c r="D125" i="5"/>
  <c r="B125" i="12" s="1"/>
  <c r="AD125" i="5"/>
  <c r="AE125" i="5"/>
  <c r="N125" i="5"/>
  <c r="D125" i="6" s="1"/>
  <c r="H125" i="6" s="1"/>
  <c r="T125" i="5" s="1"/>
  <c r="G125" i="12" s="1"/>
  <c r="J125" i="12"/>
  <c r="K125" i="12" s="1"/>
  <c r="B125" i="6"/>
  <c r="J125" i="5"/>
  <c r="K125" i="5"/>
  <c r="A124" i="6"/>
  <c r="N124" i="6" s="1"/>
  <c r="H125" i="5"/>
  <c r="B125" i="5"/>
  <c r="AE126" i="5" l="1"/>
  <c r="N126" i="5"/>
  <c r="D126" i="6" s="1"/>
  <c r="H126" i="6" s="1"/>
  <c r="T126" i="5" s="1"/>
  <c r="G126" i="12" s="1"/>
  <c r="M124" i="6"/>
  <c r="BG124" i="6" s="1"/>
  <c r="J126" i="12"/>
  <c r="K126" i="12" s="1"/>
  <c r="K126" i="5"/>
  <c r="AD126" i="5"/>
  <c r="F126" i="5"/>
  <c r="G126" i="5"/>
  <c r="D126" i="5"/>
  <c r="B126" i="12" s="1"/>
  <c r="J126" i="5"/>
  <c r="B126" i="5"/>
  <c r="C127" i="5" s="1"/>
  <c r="B127" i="6" s="1"/>
  <c r="A127" i="6" s="1"/>
  <c r="H126" i="5"/>
  <c r="B126" i="6"/>
  <c r="E126" i="5"/>
  <c r="A125" i="6"/>
  <c r="N125" i="6" s="1"/>
  <c r="AZ124" i="6" l="1"/>
  <c r="BA124" i="6"/>
  <c r="AH124" i="6"/>
  <c r="A127" i="12"/>
  <c r="AU124" i="6"/>
  <c r="AK124" i="6"/>
  <c r="BF124" i="6"/>
  <c r="AI124" i="6"/>
  <c r="BD124" i="6"/>
  <c r="AD124" i="6"/>
  <c r="BB124" i="6"/>
  <c r="AQ124" i="6"/>
  <c r="AV124" i="6"/>
  <c r="AC124" i="6"/>
  <c r="AB124" i="6"/>
  <c r="AT124" i="6"/>
  <c r="AS124" i="6"/>
  <c r="AM124" i="6"/>
  <c r="A126" i="6"/>
  <c r="N126" i="6" s="1"/>
  <c r="C128" i="5"/>
  <c r="K128" i="5" s="1"/>
  <c r="AY124" i="6"/>
  <c r="AR124" i="6"/>
  <c r="AJ124" i="6"/>
  <c r="AN124" i="6"/>
  <c r="BE124" i="6"/>
  <c r="M125" i="6"/>
  <c r="AB125" i="6" s="1"/>
  <c r="AE127" i="5"/>
  <c r="AG124" i="6"/>
  <c r="AF124" i="6"/>
  <c r="BC124" i="6"/>
  <c r="AE124" i="6"/>
  <c r="AX124" i="6"/>
  <c r="AP124" i="6"/>
  <c r="AO124" i="6"/>
  <c r="N127" i="5"/>
  <c r="D127" i="6" s="1"/>
  <c r="AN127" i="6" s="1"/>
  <c r="W127" i="5"/>
  <c r="H127" i="12" s="1"/>
  <c r="AD127" i="5"/>
  <c r="H127" i="5"/>
  <c r="F127" i="5"/>
  <c r="K123" i="5" s="1"/>
  <c r="B127" i="5"/>
  <c r="G127" i="5"/>
  <c r="E127" i="5"/>
  <c r="AD128" i="5" l="1"/>
  <c r="AO127" i="6"/>
  <c r="AQ127" i="6"/>
  <c r="G127" i="6"/>
  <c r="N127" i="6"/>
  <c r="AC125" i="6"/>
  <c r="AN125" i="6"/>
  <c r="BE127" i="6"/>
  <c r="AQ125" i="6"/>
  <c r="AM125" i="6"/>
  <c r="AF125" i="6"/>
  <c r="AJ125" i="6"/>
  <c r="AU127" i="6"/>
  <c r="AV127" i="6"/>
  <c r="M127" i="6"/>
  <c r="BB127" i="6" s="1"/>
  <c r="AX127" i="6"/>
  <c r="BC127" i="6"/>
  <c r="AS127" i="6"/>
  <c r="BA127" i="6"/>
  <c r="BG127" i="6"/>
  <c r="AE125" i="6"/>
  <c r="AZ125" i="6"/>
  <c r="M126" i="6"/>
  <c r="AH126" i="6" s="1"/>
  <c r="AY127" i="6"/>
  <c r="AP127" i="6"/>
  <c r="H127" i="6"/>
  <c r="T127" i="5" s="1"/>
  <c r="G127" i="12" s="1"/>
  <c r="AR127" i="6"/>
  <c r="N128" i="5"/>
  <c r="D128" i="6" s="1"/>
  <c r="H128" i="6" s="1"/>
  <c r="T128" i="5" s="1"/>
  <c r="G128" i="12" s="1"/>
  <c r="D128" i="5"/>
  <c r="B128" i="12" s="1"/>
  <c r="BF127" i="6"/>
  <c r="AM127" i="6"/>
  <c r="BD127" i="6"/>
  <c r="AT127" i="6"/>
  <c r="AZ127" i="6"/>
  <c r="B128" i="6"/>
  <c r="G128" i="5"/>
  <c r="A128" i="12"/>
  <c r="J128" i="12" s="1"/>
  <c r="J128" i="5"/>
  <c r="AE128" i="5"/>
  <c r="B128" i="5"/>
  <c r="C129" i="5"/>
  <c r="N129" i="5" s="1"/>
  <c r="D129" i="6" s="1"/>
  <c r="H129" i="6" s="1"/>
  <c r="T129" i="5" s="1"/>
  <c r="G129" i="12" s="1"/>
  <c r="E128" i="5"/>
  <c r="H128" i="5"/>
  <c r="AI125" i="6"/>
  <c r="BB125" i="6"/>
  <c r="BF125" i="6"/>
  <c r="AU125" i="6"/>
  <c r="BG125" i="6"/>
  <c r="BE125" i="6"/>
  <c r="AH125" i="6"/>
  <c r="AD125" i="6"/>
  <c r="AX125" i="6"/>
  <c r="AP125" i="6"/>
  <c r="AT125" i="6"/>
  <c r="AV125" i="6"/>
  <c r="AY125" i="6"/>
  <c r="AG125" i="6"/>
  <c r="AS125" i="6"/>
  <c r="BC125" i="6"/>
  <c r="AO125" i="6"/>
  <c r="AK125" i="6"/>
  <c r="BA125" i="6"/>
  <c r="BD125" i="6"/>
  <c r="AR125" i="6"/>
  <c r="F128" i="5"/>
  <c r="F129" i="5" l="1"/>
  <c r="AB127" i="6"/>
  <c r="BD126" i="6"/>
  <c r="AE126" i="6"/>
  <c r="AR126" i="6"/>
  <c r="AH127" i="6"/>
  <c r="AU126" i="6"/>
  <c r="AD127" i="6"/>
  <c r="AN126" i="6"/>
  <c r="AY126" i="6"/>
  <c r="AX126" i="6"/>
  <c r="AI127" i="6"/>
  <c r="BC126" i="6"/>
  <c r="AZ126" i="6"/>
  <c r="BE126" i="6"/>
  <c r="AD129" i="5"/>
  <c r="AJ126" i="6"/>
  <c r="AV126" i="6"/>
  <c r="AD126" i="6"/>
  <c r="J129" i="5"/>
  <c r="AB126" i="6"/>
  <c r="AG126" i="6"/>
  <c r="AP126" i="6"/>
  <c r="L128" i="12"/>
  <c r="K128" i="12" s="1"/>
  <c r="AE129" i="5"/>
  <c r="A128" i="6"/>
  <c r="M128" i="6" s="1"/>
  <c r="AJ128" i="6" s="1"/>
  <c r="AC127" i="6"/>
  <c r="AM126" i="6"/>
  <c r="AS126" i="6"/>
  <c r="AK126" i="6"/>
  <c r="BG126" i="6"/>
  <c r="BA126" i="6"/>
  <c r="H129" i="5"/>
  <c r="D129" i="5"/>
  <c r="B129" i="12" s="1"/>
  <c r="AE127" i="6"/>
  <c r="AF127" i="6"/>
  <c r="AG127" i="6"/>
  <c r="AI126" i="6"/>
  <c r="AJ127" i="6"/>
  <c r="AK127" i="6"/>
  <c r="BF126" i="6"/>
  <c r="BB126" i="6"/>
  <c r="AO126" i="6"/>
  <c r="AF126" i="6"/>
  <c r="AQ126" i="6"/>
  <c r="AT126" i="6"/>
  <c r="AC126" i="6"/>
  <c r="E129" i="5"/>
  <c r="B129" i="6"/>
  <c r="B129" i="5"/>
  <c r="G129" i="5"/>
  <c r="C130" i="5"/>
  <c r="AE130" i="5" s="1"/>
  <c r="K129" i="5"/>
  <c r="A129" i="12"/>
  <c r="N128" i="6" l="1"/>
  <c r="AX128" i="6"/>
  <c r="AG128" i="6"/>
  <c r="BB128" i="6"/>
  <c r="BC128" i="6"/>
  <c r="A129" i="6"/>
  <c r="N129" i="6" s="1"/>
  <c r="AO128" i="6"/>
  <c r="AU128" i="6"/>
  <c r="AC128" i="6"/>
  <c r="AK128" i="6"/>
  <c r="AQ128" i="6"/>
  <c r="AS128" i="6"/>
  <c r="BD128" i="6"/>
  <c r="AT128" i="6"/>
  <c r="AP128" i="6"/>
  <c r="AD128" i="6"/>
  <c r="AH128" i="6"/>
  <c r="AI128" i="6"/>
  <c r="AV128" i="6"/>
  <c r="AM128" i="6"/>
  <c r="BE128" i="6"/>
  <c r="BF128" i="6"/>
  <c r="AE128" i="6"/>
  <c r="AZ128" i="6"/>
  <c r="BG128" i="6"/>
  <c r="AN128" i="6"/>
  <c r="AR128" i="6"/>
  <c r="BA128" i="6"/>
  <c r="AF128" i="6"/>
  <c r="AY128" i="6"/>
  <c r="AB128" i="6"/>
  <c r="AD130" i="5"/>
  <c r="G130" i="5"/>
  <c r="D130" i="5"/>
  <c r="B130" i="12" s="1"/>
  <c r="K130" i="5"/>
  <c r="B130" i="6"/>
  <c r="B130" i="5"/>
  <c r="E130" i="5"/>
  <c r="H130" i="5"/>
  <c r="J130" i="5"/>
  <c r="A130" i="12"/>
  <c r="L130" i="12" s="1"/>
  <c r="C131" i="5"/>
  <c r="AE131" i="5" s="1"/>
  <c r="N130" i="5"/>
  <c r="D130" i="6" s="1"/>
  <c r="H130" i="6" s="1"/>
  <c r="T130" i="5" s="1"/>
  <c r="G130" i="12" s="1"/>
  <c r="F130" i="5"/>
  <c r="J129" i="12"/>
  <c r="L129" i="12"/>
  <c r="M129" i="6" l="1"/>
  <c r="AN129" i="6" s="1"/>
  <c r="E131" i="5"/>
  <c r="H131" i="5"/>
  <c r="B131" i="6"/>
  <c r="AD131" i="5"/>
  <c r="B131" i="5"/>
  <c r="N131" i="5"/>
  <c r="D131" i="6" s="1"/>
  <c r="H131" i="6" s="1"/>
  <c r="T131" i="5" s="1"/>
  <c r="G131" i="12" s="1"/>
  <c r="J131" i="5"/>
  <c r="C132" i="5"/>
  <c r="J132" i="5" s="1"/>
  <c r="A130" i="6"/>
  <c r="N130" i="6" s="1"/>
  <c r="A131" i="12"/>
  <c r="G131" i="5"/>
  <c r="F131" i="5"/>
  <c r="D131" i="5"/>
  <c r="B131" i="12" s="1"/>
  <c r="K131" i="5"/>
  <c r="J130" i="12"/>
  <c r="K130" i="12" s="1"/>
  <c r="K129" i="12"/>
  <c r="BC129" i="6" l="1"/>
  <c r="AX129" i="6"/>
  <c r="AG129" i="6"/>
  <c r="AD129" i="6"/>
  <c r="AK129" i="6"/>
  <c r="AH129" i="6"/>
  <c r="BD129" i="6"/>
  <c r="AZ129" i="6"/>
  <c r="AB129" i="6"/>
  <c r="AT129" i="6"/>
  <c r="AE129" i="6"/>
  <c r="AJ129" i="6"/>
  <c r="AR129" i="6"/>
  <c r="AP129" i="6"/>
  <c r="AM129" i="6"/>
  <c r="BB129" i="6"/>
  <c r="AC129" i="6"/>
  <c r="AY129" i="6"/>
  <c r="AS129" i="6"/>
  <c r="BG129" i="6"/>
  <c r="BA129" i="6"/>
  <c r="AF129" i="6"/>
  <c r="BE129" i="6"/>
  <c r="AV129" i="6"/>
  <c r="AU129" i="6"/>
  <c r="BF129" i="6"/>
  <c r="AO129" i="6"/>
  <c r="AQ129" i="6"/>
  <c r="AI129" i="6"/>
  <c r="K132" i="5"/>
  <c r="F132" i="5"/>
  <c r="B132" i="6"/>
  <c r="E132" i="5"/>
  <c r="AE132" i="5"/>
  <c r="C133" i="5"/>
  <c r="AD133" i="5" s="1"/>
  <c r="B132" i="5"/>
  <c r="A132" i="12"/>
  <c r="L132" i="12" s="1"/>
  <c r="AD132" i="5"/>
  <c r="N132" i="5"/>
  <c r="D132" i="6" s="1"/>
  <c r="H132" i="6" s="1"/>
  <c r="T132" i="5" s="1"/>
  <c r="G132" i="12" s="1"/>
  <c r="D132" i="5"/>
  <c r="B132" i="12" s="1"/>
  <c r="H132" i="5"/>
  <c r="G132" i="5"/>
  <c r="A131" i="6"/>
  <c r="N131" i="6" s="1"/>
  <c r="M130" i="6"/>
  <c r="AO130" i="6" s="1"/>
  <c r="L131" i="12"/>
  <c r="J131" i="12"/>
  <c r="B133" i="5" l="1"/>
  <c r="H133" i="5"/>
  <c r="E133" i="5"/>
  <c r="N133" i="5"/>
  <c r="D133" i="6" s="1"/>
  <c r="H133" i="6" s="1"/>
  <c r="T133" i="5" s="1"/>
  <c r="G133" i="12" s="1"/>
  <c r="F133" i="5"/>
  <c r="AE133" i="5"/>
  <c r="K133" i="5"/>
  <c r="J133" i="5"/>
  <c r="A133" i="12"/>
  <c r="J133" i="12" s="1"/>
  <c r="G133" i="5"/>
  <c r="J132" i="12"/>
  <c r="K132" i="12" s="1"/>
  <c r="B133" i="6"/>
  <c r="D133" i="5"/>
  <c r="B133" i="12" s="1"/>
  <c r="C134" i="5"/>
  <c r="M131" i="6"/>
  <c r="AZ131" i="6" s="1"/>
  <c r="A132" i="6"/>
  <c r="M132" i="6" s="1"/>
  <c r="AM132" i="6" s="1"/>
  <c r="AB130" i="6"/>
  <c r="AI130" i="6"/>
  <c r="BB130" i="6"/>
  <c r="AK130" i="6"/>
  <c r="AX130" i="6"/>
  <c r="AT130" i="6"/>
  <c r="AQ130" i="6"/>
  <c r="BC130" i="6"/>
  <c r="AN130" i="6"/>
  <c r="BF130" i="6"/>
  <c r="AD130" i="6"/>
  <c r="AC130" i="6"/>
  <c r="AS130" i="6"/>
  <c r="AR130" i="6"/>
  <c r="BE130" i="6"/>
  <c r="BD130" i="6"/>
  <c r="BG130" i="6"/>
  <c r="AJ130" i="6"/>
  <c r="AG130" i="6"/>
  <c r="BA130" i="6"/>
  <c r="AP130" i="6"/>
  <c r="AF130" i="6"/>
  <c r="AU130" i="6"/>
  <c r="AE130" i="6"/>
  <c r="AZ130" i="6"/>
  <c r="AY130" i="6"/>
  <c r="AV130" i="6"/>
  <c r="AM130" i="6"/>
  <c r="AH130" i="6"/>
  <c r="K131" i="12"/>
  <c r="K28" i="5"/>
  <c r="J23" i="5"/>
  <c r="A15" i="13"/>
  <c r="B15" i="11"/>
  <c r="K16" i="5"/>
  <c r="F66" i="6"/>
  <c r="E66" i="12"/>
  <c r="F73" i="6"/>
  <c r="E73" i="12"/>
  <c r="N132" i="6" l="1"/>
  <c r="L133" i="12"/>
  <c r="K133" i="12" s="1"/>
  <c r="B134" i="5"/>
  <c r="AS132" i="6"/>
  <c r="AZ132" i="6"/>
  <c r="AG132" i="6"/>
  <c r="BC132" i="6"/>
  <c r="AB132" i="6"/>
  <c r="AK132" i="6"/>
  <c r="AE132" i="6"/>
  <c r="AU132" i="6"/>
  <c r="AH132" i="6"/>
  <c r="BF132" i="6"/>
  <c r="AP132" i="6"/>
  <c r="AI132" i="6"/>
  <c r="AX132" i="6"/>
  <c r="AC132" i="6"/>
  <c r="AT132" i="6"/>
  <c r="AD132" i="6"/>
  <c r="AO132" i="6"/>
  <c r="AJ132" i="6"/>
  <c r="AQ132" i="6"/>
  <c r="AY132" i="6"/>
  <c r="BA132" i="6"/>
  <c r="AV131" i="6"/>
  <c r="AT131" i="6"/>
  <c r="AF131" i="6"/>
  <c r="AJ131" i="6"/>
  <c r="AY131" i="6"/>
  <c r="AP131" i="6"/>
  <c r="BE131" i="6"/>
  <c r="AU131" i="6"/>
  <c r="AN131" i="6"/>
  <c r="AI131" i="6"/>
  <c r="BC131" i="6"/>
  <c r="BG131" i="6"/>
  <c r="AO131" i="6"/>
  <c r="AD131" i="6"/>
  <c r="AX131" i="6"/>
  <c r="AQ131" i="6"/>
  <c r="BE132" i="6"/>
  <c r="AR132" i="6"/>
  <c r="BG132" i="6"/>
  <c r="BB132" i="6"/>
  <c r="AV132" i="6"/>
  <c r="BD132" i="6"/>
  <c r="AN132" i="6"/>
  <c r="AS131" i="6"/>
  <c r="AG131" i="6"/>
  <c r="AR131" i="6"/>
  <c r="AB131" i="6"/>
  <c r="BD131" i="6"/>
  <c r="G134" i="5"/>
  <c r="A133" i="6"/>
  <c r="N133" i="6" s="1"/>
  <c r="AE134" i="5"/>
  <c r="D134" i="5"/>
  <c r="B134" i="12" s="1"/>
  <c r="E134" i="5"/>
  <c r="N134" i="5"/>
  <c r="D134" i="6" s="1"/>
  <c r="H134" i="6" s="1"/>
  <c r="T134" i="5" s="1"/>
  <c r="G134" i="12" s="1"/>
  <c r="B134" i="6"/>
  <c r="C135" i="5"/>
  <c r="K134" i="5"/>
  <c r="AD134" i="5"/>
  <c r="J134" i="5"/>
  <c r="A134" i="12"/>
  <c r="F134" i="5"/>
  <c r="AF132" i="6"/>
  <c r="H134" i="5"/>
  <c r="BA131" i="6"/>
  <c r="AH131" i="6"/>
  <c r="AE131" i="6"/>
  <c r="BB131" i="6"/>
  <c r="AK131" i="6"/>
  <c r="AC131" i="6"/>
  <c r="AM131" i="6"/>
  <c r="BF131" i="6"/>
  <c r="G15" i="11"/>
  <c r="F15" i="13" s="1"/>
  <c r="C15" i="13"/>
  <c r="K15" i="13" s="1"/>
  <c r="K15" i="11"/>
  <c r="J15" i="13" s="1"/>
  <c r="A134" i="6" l="1"/>
  <c r="M134" i="6" s="1"/>
  <c r="AX134" i="6" s="1"/>
  <c r="M133" i="6"/>
  <c r="AJ133" i="6" s="1"/>
  <c r="L134" i="12"/>
  <c r="J134" i="12"/>
  <c r="AE135" i="5"/>
  <c r="K135" i="5"/>
  <c r="B135" i="6"/>
  <c r="D135" i="5"/>
  <c r="B135" i="12" s="1"/>
  <c r="C136" i="5"/>
  <c r="A135" i="12"/>
  <c r="G135" i="5"/>
  <c r="AD135" i="5"/>
  <c r="E135" i="5"/>
  <c r="H135" i="5"/>
  <c r="J135" i="5"/>
  <c r="B135" i="5"/>
  <c r="N135" i="5"/>
  <c r="D135" i="6" s="1"/>
  <c r="H135" i="6" s="1"/>
  <c r="T135" i="5" s="1"/>
  <c r="G135" i="12" s="1"/>
  <c r="F135" i="5"/>
  <c r="N134" i="6" l="1"/>
  <c r="AS134" i="6"/>
  <c r="AY134" i="6"/>
  <c r="AB134" i="6"/>
  <c r="AQ134" i="6"/>
  <c r="AE134" i="6"/>
  <c r="BD134" i="6"/>
  <c r="BF134" i="6"/>
  <c r="AJ134" i="6"/>
  <c r="BC134" i="6"/>
  <c r="AZ134" i="6"/>
  <c r="AR134" i="6"/>
  <c r="BG134" i="6"/>
  <c r="AD134" i="6"/>
  <c r="AK134" i="6"/>
  <c r="BB134" i="6"/>
  <c r="AP134" i="6"/>
  <c r="BA134" i="6"/>
  <c r="AP133" i="6"/>
  <c r="AV134" i="6"/>
  <c r="AN134" i="6"/>
  <c r="AM134" i="6"/>
  <c r="AU134" i="6"/>
  <c r="AI134" i="6"/>
  <c r="BE134" i="6"/>
  <c r="AG134" i="6"/>
  <c r="AC134" i="6"/>
  <c r="AF134" i="6"/>
  <c r="AO134" i="6"/>
  <c r="AT134" i="6"/>
  <c r="AH134" i="6"/>
  <c r="AF133" i="6"/>
  <c r="A135" i="6"/>
  <c r="N135" i="6" s="1"/>
  <c r="K134" i="12"/>
  <c r="AD133" i="6"/>
  <c r="AI133" i="6"/>
  <c r="AU133" i="6"/>
  <c r="BD133" i="6"/>
  <c r="AS133" i="6"/>
  <c r="AK133" i="6"/>
  <c r="AY133" i="6"/>
  <c r="BA133" i="6"/>
  <c r="BG133" i="6"/>
  <c r="BB133" i="6"/>
  <c r="AC133" i="6"/>
  <c r="AH133" i="6"/>
  <c r="BF133" i="6"/>
  <c r="AV133" i="6"/>
  <c r="BC133" i="6"/>
  <c r="BE133" i="6"/>
  <c r="AB133" i="6"/>
  <c r="AR133" i="6"/>
  <c r="AX133" i="6"/>
  <c r="AO133" i="6"/>
  <c r="AE133" i="6"/>
  <c r="AT133" i="6"/>
  <c r="AG133" i="6"/>
  <c r="AN133" i="6"/>
  <c r="AM133" i="6"/>
  <c r="AQ133" i="6"/>
  <c r="AZ133" i="6"/>
  <c r="J135" i="12"/>
  <c r="L135" i="12"/>
  <c r="H136" i="5"/>
  <c r="E136" i="5"/>
  <c r="AD136" i="5"/>
  <c r="N136" i="5"/>
  <c r="D136" i="6" s="1"/>
  <c r="H136" i="6" s="1"/>
  <c r="T136" i="5" s="1"/>
  <c r="G136" i="12" s="1"/>
  <c r="D136" i="5"/>
  <c r="B136" i="12" s="1"/>
  <c r="AE136" i="5"/>
  <c r="A136" i="12"/>
  <c r="F136" i="5"/>
  <c r="G136" i="5"/>
  <c r="J136" i="5"/>
  <c r="B136" i="5"/>
  <c r="C137" i="5"/>
  <c r="K136" i="5"/>
  <c r="B136" i="6"/>
  <c r="K135" i="12" l="1"/>
  <c r="M135" i="6"/>
  <c r="A136" i="6"/>
  <c r="G137" i="5"/>
  <c r="C138" i="5"/>
  <c r="AD137" i="5"/>
  <c r="B137" i="6"/>
  <c r="F137" i="5"/>
  <c r="K137" i="5"/>
  <c r="E137" i="5"/>
  <c r="D137" i="5"/>
  <c r="B137" i="12" s="1"/>
  <c r="B137" i="5"/>
  <c r="A137" i="12"/>
  <c r="AE137" i="5"/>
  <c r="H137" i="5"/>
  <c r="J137" i="5"/>
  <c r="N137" i="5"/>
  <c r="D137" i="6" s="1"/>
  <c r="H137" i="6" s="1"/>
  <c r="T137" i="5" s="1"/>
  <c r="G137" i="12" s="1"/>
  <c r="L136" i="12"/>
  <c r="J136" i="12"/>
  <c r="AS135" i="6" l="1"/>
  <c r="AH135" i="6"/>
  <c r="AZ135" i="6"/>
  <c r="AF135" i="6"/>
  <c r="AN135" i="6"/>
  <c r="AM135" i="6"/>
  <c r="AC135" i="6"/>
  <c r="AY135" i="6"/>
  <c r="AV135" i="6"/>
  <c r="BB135" i="6"/>
  <c r="AD135" i="6"/>
  <c r="BA135" i="6"/>
  <c r="BF135" i="6"/>
  <c r="BD135" i="6"/>
  <c r="AR135" i="6"/>
  <c r="AQ135" i="6"/>
  <c r="AE135" i="6"/>
  <c r="AX135" i="6"/>
  <c r="AT135" i="6"/>
  <c r="BE135" i="6"/>
  <c r="BG135" i="6"/>
  <c r="AI135" i="6"/>
  <c r="AK135" i="6"/>
  <c r="AP135" i="6"/>
  <c r="AU135" i="6"/>
  <c r="AO135" i="6"/>
  <c r="AB135" i="6"/>
  <c r="AJ135" i="6"/>
  <c r="AG135" i="6"/>
  <c r="BC135" i="6"/>
  <c r="K136" i="12"/>
  <c r="L137" i="12"/>
  <c r="J137" i="12"/>
  <c r="H138" i="5"/>
  <c r="AE138" i="5"/>
  <c r="A138" i="12"/>
  <c r="G138" i="5"/>
  <c r="K138" i="5"/>
  <c r="B138" i="5"/>
  <c r="AD138" i="5"/>
  <c r="B138" i="6"/>
  <c r="D138" i="5"/>
  <c r="B138" i="12" s="1"/>
  <c r="N138" i="5"/>
  <c r="D138" i="6" s="1"/>
  <c r="H138" i="6" s="1"/>
  <c r="T138" i="5" s="1"/>
  <c r="G138" i="12" s="1"/>
  <c r="J138" i="5"/>
  <c r="E138" i="5"/>
  <c r="F138" i="5"/>
  <c r="C139" i="5"/>
  <c r="A137" i="6"/>
  <c r="M137" i="6" s="1"/>
  <c r="BF137" i="6" s="1"/>
  <c r="M136" i="6"/>
  <c r="N136" i="6"/>
  <c r="K137" i="12" l="1"/>
  <c r="AT137" i="6"/>
  <c r="AR137" i="6"/>
  <c r="BA137" i="6"/>
  <c r="BD137" i="6"/>
  <c r="AH137" i="6"/>
  <c r="BC137" i="6"/>
  <c r="AG137" i="6"/>
  <c r="AJ137" i="6"/>
  <c r="AY137" i="6"/>
  <c r="BB137" i="6"/>
  <c r="AS136" i="6"/>
  <c r="AN136" i="6"/>
  <c r="AT136" i="6"/>
  <c r="AY136" i="6"/>
  <c r="AE136" i="6"/>
  <c r="BF136" i="6"/>
  <c r="BB136" i="6"/>
  <c r="AH136" i="6"/>
  <c r="AM136" i="6"/>
  <c r="BD136" i="6"/>
  <c r="AR136" i="6"/>
  <c r="AX136" i="6"/>
  <c r="AF136" i="6"/>
  <c r="AB136" i="6"/>
  <c r="AC136" i="6"/>
  <c r="AK136" i="6"/>
  <c r="AQ136" i="6"/>
  <c r="AG136" i="6"/>
  <c r="AP136" i="6"/>
  <c r="AO136" i="6"/>
  <c r="AJ136" i="6"/>
  <c r="BA136" i="6"/>
  <c r="AU136" i="6"/>
  <c r="BE136" i="6"/>
  <c r="BC136" i="6"/>
  <c r="AD136" i="6"/>
  <c r="AZ136" i="6"/>
  <c r="BG136" i="6"/>
  <c r="AV136" i="6"/>
  <c r="AI136" i="6"/>
  <c r="A138" i="6"/>
  <c r="L138" i="12"/>
  <c r="J138" i="12"/>
  <c r="AE137" i="6"/>
  <c r="AQ137" i="6"/>
  <c r="AV137" i="6"/>
  <c r="AS137" i="6"/>
  <c r="AI137" i="6"/>
  <c r="AC137" i="6"/>
  <c r="AO137" i="6"/>
  <c r="BE137" i="6"/>
  <c r="J139" i="5"/>
  <c r="D139" i="5"/>
  <c r="B139" i="12" s="1"/>
  <c r="G139" i="5"/>
  <c r="E139" i="5"/>
  <c r="A139" i="12"/>
  <c r="K139" i="5"/>
  <c r="B139" i="6"/>
  <c r="F139" i="5"/>
  <c r="AD139" i="5"/>
  <c r="N139" i="5"/>
  <c r="D139" i="6" s="1"/>
  <c r="H139" i="6" s="1"/>
  <c r="T139" i="5" s="1"/>
  <c r="G139" i="12" s="1"/>
  <c r="C140" i="5"/>
  <c r="B139" i="5"/>
  <c r="AE139" i="5"/>
  <c r="H139" i="5"/>
  <c r="AN137" i="6"/>
  <c r="AB137" i="6"/>
  <c r="AU137" i="6"/>
  <c r="AP137" i="6"/>
  <c r="AX137" i="6"/>
  <c r="AM137" i="6"/>
  <c r="AD137" i="6"/>
  <c r="AZ137" i="6"/>
  <c r="AF137" i="6"/>
  <c r="BG137" i="6"/>
  <c r="AK137" i="6"/>
  <c r="N137" i="6"/>
  <c r="A139" i="6" l="1"/>
  <c r="N139" i="6" s="1"/>
  <c r="K138" i="12"/>
  <c r="A140" i="12"/>
  <c r="K140" i="5"/>
  <c r="H140" i="5"/>
  <c r="N140" i="5"/>
  <c r="D140" i="6" s="1"/>
  <c r="H140" i="6" s="1"/>
  <c r="T140" i="5" s="1"/>
  <c r="G140" i="12" s="1"/>
  <c r="E140" i="5"/>
  <c r="B140" i="5"/>
  <c r="C141" i="5"/>
  <c r="AE140" i="5"/>
  <c r="J140" i="5"/>
  <c r="G140" i="5"/>
  <c r="B140" i="6"/>
  <c r="AD140" i="5"/>
  <c r="D140" i="5"/>
  <c r="B140" i="12" s="1"/>
  <c r="F140" i="5"/>
  <c r="L139" i="12"/>
  <c r="J139" i="12"/>
  <c r="M138" i="6"/>
  <c r="N138" i="6"/>
  <c r="M139" i="6" l="1"/>
  <c r="AH139" i="6" s="1"/>
  <c r="A140" i="6"/>
  <c r="N140" i="6" s="1"/>
  <c r="K139" i="12"/>
  <c r="K141" i="5"/>
  <c r="E141" i="5"/>
  <c r="A141" i="12"/>
  <c r="N141" i="5"/>
  <c r="D141" i="6" s="1"/>
  <c r="H141" i="6" s="1"/>
  <c r="T141" i="5" s="1"/>
  <c r="G141" i="12" s="1"/>
  <c r="B141" i="6"/>
  <c r="H141" i="5"/>
  <c r="D141" i="5"/>
  <c r="B141" i="12" s="1"/>
  <c r="AD141" i="5"/>
  <c r="F141" i="5"/>
  <c r="G141" i="5"/>
  <c r="B141" i="5"/>
  <c r="AE141" i="5"/>
  <c r="J141" i="5"/>
  <c r="AG138" i="6"/>
  <c r="BD138" i="6"/>
  <c r="AO138" i="6"/>
  <c r="BE138" i="6"/>
  <c r="AH138" i="6"/>
  <c r="BC138" i="6"/>
  <c r="AB138" i="6"/>
  <c r="AK138" i="6"/>
  <c r="AX138" i="6"/>
  <c r="AM138" i="6"/>
  <c r="AU138" i="6"/>
  <c r="AF138" i="6"/>
  <c r="AD138" i="6"/>
  <c r="AP138" i="6"/>
  <c r="AZ138" i="6"/>
  <c r="AJ138" i="6"/>
  <c r="BA138" i="6"/>
  <c r="AQ138" i="6"/>
  <c r="AR138" i="6"/>
  <c r="AV138" i="6"/>
  <c r="AI138" i="6"/>
  <c r="AN138" i="6"/>
  <c r="BB138" i="6"/>
  <c r="AS138" i="6"/>
  <c r="AT138" i="6"/>
  <c r="BF138" i="6"/>
  <c r="AY138" i="6"/>
  <c r="AE138" i="6"/>
  <c r="AC138" i="6"/>
  <c r="BG138" i="6"/>
  <c r="J140" i="12"/>
  <c r="L140" i="12"/>
  <c r="BC139" i="6" l="1"/>
  <c r="C142" i="5"/>
  <c r="B142" i="6" s="1"/>
  <c r="A142" i="6" s="1"/>
  <c r="AF139" i="6"/>
  <c r="BF139" i="6"/>
  <c r="AJ139" i="6"/>
  <c r="AC139" i="6"/>
  <c r="AQ139" i="6"/>
  <c r="AM139" i="6"/>
  <c r="AO139" i="6"/>
  <c r="AS139" i="6"/>
  <c r="AI139" i="6"/>
  <c r="AK139" i="6"/>
  <c r="AE139" i="6"/>
  <c r="BE139" i="6"/>
  <c r="BG139" i="6"/>
  <c r="AV139" i="6"/>
  <c r="AR139" i="6"/>
  <c r="AZ139" i="6"/>
  <c r="AP139" i="6"/>
  <c r="BA139" i="6"/>
  <c r="AD139" i="6"/>
  <c r="AT139" i="6"/>
  <c r="AN139" i="6"/>
  <c r="AX139" i="6"/>
  <c r="BD139" i="6"/>
  <c r="AU139" i="6"/>
  <c r="BB139" i="6"/>
  <c r="AB139" i="6"/>
  <c r="AY139" i="6"/>
  <c r="AG139" i="6"/>
  <c r="M140" i="6"/>
  <c r="J141" i="12"/>
  <c r="L141" i="12"/>
  <c r="K140" i="12"/>
  <c r="A141" i="6"/>
  <c r="I81" i="5"/>
  <c r="H142" i="5" l="1"/>
  <c r="F142" i="5"/>
  <c r="K127" i="5" s="1"/>
  <c r="I142" i="5"/>
  <c r="G142" i="5"/>
  <c r="B142" i="5"/>
  <c r="W142" i="5"/>
  <c r="H142" i="12" s="1"/>
  <c r="C143" i="5"/>
  <c r="J143" i="5" s="1"/>
  <c r="AD142" i="5"/>
  <c r="AE142" i="5"/>
  <c r="N142" i="5"/>
  <c r="D142" i="6" s="1"/>
  <c r="H142" i="6" s="1"/>
  <c r="A142" i="12"/>
  <c r="E142" i="5"/>
  <c r="K141" i="12"/>
  <c r="BD140" i="6"/>
  <c r="AD140" i="6"/>
  <c r="AE140" i="6"/>
  <c r="AT140" i="6"/>
  <c r="AI140" i="6"/>
  <c r="AU140" i="6"/>
  <c r="AO140" i="6"/>
  <c r="AK140" i="6"/>
  <c r="BA140" i="6"/>
  <c r="AJ140" i="6"/>
  <c r="BC140" i="6"/>
  <c r="AP140" i="6"/>
  <c r="AN140" i="6"/>
  <c r="AR140" i="6"/>
  <c r="AB140" i="6"/>
  <c r="BE140" i="6"/>
  <c r="BB140" i="6"/>
  <c r="AH140" i="6"/>
  <c r="AY140" i="6"/>
  <c r="AC140" i="6"/>
  <c r="AG140" i="6"/>
  <c r="AX140" i="6"/>
  <c r="AF140" i="6"/>
  <c r="AS140" i="6"/>
  <c r="AV140" i="6"/>
  <c r="BF140" i="6"/>
  <c r="AZ140" i="6"/>
  <c r="BG140" i="6"/>
  <c r="AQ140" i="6"/>
  <c r="AM140" i="6"/>
  <c r="M141" i="6"/>
  <c r="N141" i="6"/>
  <c r="F145" i="6"/>
  <c r="B143" i="5" l="1"/>
  <c r="F143" i="5"/>
  <c r="AE143" i="5"/>
  <c r="AD143" i="5"/>
  <c r="A143" i="12"/>
  <c r="J143" i="12" s="1"/>
  <c r="E143" i="5"/>
  <c r="C144" i="5"/>
  <c r="B144" i="6" s="1"/>
  <c r="N143" i="5"/>
  <c r="D143" i="6" s="1"/>
  <c r="H143" i="6" s="1"/>
  <c r="T143" i="5" s="1"/>
  <c r="G143" i="12" s="1"/>
  <c r="D143" i="5"/>
  <c r="B143" i="12" s="1"/>
  <c r="K143" i="5"/>
  <c r="H143" i="5"/>
  <c r="G143" i="5"/>
  <c r="B143" i="6"/>
  <c r="AY142" i="6"/>
  <c r="AV142" i="6"/>
  <c r="AT142" i="6"/>
  <c r="AU142" i="6"/>
  <c r="AZ142" i="6"/>
  <c r="BD142" i="6"/>
  <c r="AN142" i="6"/>
  <c r="BE142" i="6"/>
  <c r="M142" i="6"/>
  <c r="AG142" i="6" s="1"/>
  <c r="N142" i="6"/>
  <c r="AO142" i="6"/>
  <c r="AQ142" i="6"/>
  <c r="AR142" i="6"/>
  <c r="AM142" i="6"/>
  <c r="BG142" i="6"/>
  <c r="BF142" i="6"/>
  <c r="BB142" i="6"/>
  <c r="BA142" i="6"/>
  <c r="G142" i="6"/>
  <c r="AP142" i="6"/>
  <c r="BC142" i="6"/>
  <c r="AS142" i="6"/>
  <c r="AX142" i="6"/>
  <c r="BE141" i="6"/>
  <c r="AV141" i="6"/>
  <c r="AO141" i="6"/>
  <c r="AZ141" i="6"/>
  <c r="AC141" i="6"/>
  <c r="BC141" i="6"/>
  <c r="BF141" i="6"/>
  <c r="AT141" i="6"/>
  <c r="AS141" i="6"/>
  <c r="BD141" i="6"/>
  <c r="AH141" i="6"/>
  <c r="AD141" i="6"/>
  <c r="AU141" i="6"/>
  <c r="AF141" i="6"/>
  <c r="AJ141" i="6"/>
  <c r="AX141" i="6"/>
  <c r="AR141" i="6"/>
  <c r="AK141" i="6"/>
  <c r="AN141" i="6"/>
  <c r="BB141" i="6"/>
  <c r="AM141" i="6"/>
  <c r="AE141" i="6"/>
  <c r="AI141" i="6"/>
  <c r="AB141" i="6"/>
  <c r="AQ141" i="6"/>
  <c r="BA141" i="6"/>
  <c r="AG141" i="6"/>
  <c r="AY141" i="6"/>
  <c r="BG141" i="6"/>
  <c r="AP141" i="6"/>
  <c r="T142" i="5"/>
  <c r="G142" i="12" s="1"/>
  <c r="AE142" i="6"/>
  <c r="E145" i="12"/>
  <c r="AI142" i="6" l="1"/>
  <c r="AJ142" i="6"/>
  <c r="AH142" i="6"/>
  <c r="AD144" i="5"/>
  <c r="N144" i="5"/>
  <c r="D144" i="6" s="1"/>
  <c r="H144" i="6" s="1"/>
  <c r="T144" i="5" s="1"/>
  <c r="G144" i="12" s="1"/>
  <c r="D144" i="5"/>
  <c r="B144" i="12" s="1"/>
  <c r="AK142" i="6"/>
  <c r="AC142" i="6"/>
  <c r="AB142" i="6"/>
  <c r="AD142" i="6"/>
  <c r="AF142" i="6"/>
  <c r="F144" i="5"/>
  <c r="J144" i="5"/>
  <c r="E144" i="5"/>
  <c r="K144" i="5"/>
  <c r="H144" i="5"/>
  <c r="B144" i="5"/>
  <c r="C145" i="5" s="1"/>
  <c r="A145" i="12" s="1"/>
  <c r="AE144" i="5"/>
  <c r="A144" i="12"/>
  <c r="L144" i="12" s="1"/>
  <c r="G144" i="5"/>
  <c r="A143" i="6"/>
  <c r="N143" i="6" s="1"/>
  <c r="L143" i="12"/>
  <c r="K143" i="12" s="1"/>
  <c r="J144" i="12" l="1"/>
  <c r="K144" i="12" s="1"/>
  <c r="AE145" i="5"/>
  <c r="AD145" i="5"/>
  <c r="N145" i="5"/>
  <c r="D145" i="6" s="1"/>
  <c r="M145" i="6" s="1"/>
  <c r="F145" i="5"/>
  <c r="B145" i="5"/>
  <c r="C146" i="5" s="1"/>
  <c r="W146" i="5" s="1"/>
  <c r="H146" i="12" s="1"/>
  <c r="E145" i="5"/>
  <c r="G145" i="5"/>
  <c r="B145" i="6"/>
  <c r="A145" i="6" s="1"/>
  <c r="W145" i="5"/>
  <c r="H145" i="12" s="1"/>
  <c r="H145" i="5"/>
  <c r="A144" i="6"/>
  <c r="N144" i="6" s="1"/>
  <c r="M143" i="6"/>
  <c r="BF143" i="6" s="1"/>
  <c r="B146" i="6"/>
  <c r="A146" i="6" s="1"/>
  <c r="B146" i="5" l="1"/>
  <c r="I146" i="5"/>
  <c r="A146" i="12"/>
  <c r="N146" i="5"/>
  <c r="D146" i="6" s="1"/>
  <c r="N146" i="6" s="1"/>
  <c r="C147" i="5"/>
  <c r="C148" i="5" s="1"/>
  <c r="E146" i="5"/>
  <c r="AD146" i="5"/>
  <c r="AU145" i="6"/>
  <c r="BF145" i="6"/>
  <c r="BE145" i="6"/>
  <c r="AR145" i="6"/>
  <c r="AV145" i="6"/>
  <c r="H145" i="6"/>
  <c r="T145" i="5" s="1"/>
  <c r="G145" i="12" s="1"/>
  <c r="AQ145" i="6"/>
  <c r="BA145" i="6"/>
  <c r="AX145" i="6"/>
  <c r="AP145" i="6"/>
  <c r="BB145" i="6"/>
  <c r="AM145" i="6"/>
  <c r="G145" i="6"/>
  <c r="BC145" i="6"/>
  <c r="AS145" i="6"/>
  <c r="AZ145" i="6"/>
  <c r="BD145" i="6"/>
  <c r="F146" i="5"/>
  <c r="AO145" i="6"/>
  <c r="BG145" i="6"/>
  <c r="AT145" i="6"/>
  <c r="AY145" i="6"/>
  <c r="AN145" i="6"/>
  <c r="N145" i="6"/>
  <c r="H146" i="5"/>
  <c r="M144" i="6"/>
  <c r="AO144" i="6" s="1"/>
  <c r="AE146" i="5"/>
  <c r="G146" i="5"/>
  <c r="AV143" i="6"/>
  <c r="AS143" i="6"/>
  <c r="AI143" i="6"/>
  <c r="AP143" i="6"/>
  <c r="BD143" i="6"/>
  <c r="AG143" i="6"/>
  <c r="BC143" i="6"/>
  <c r="AM143" i="6"/>
  <c r="AX143" i="6"/>
  <c r="AN143" i="6"/>
  <c r="AJ143" i="6"/>
  <c r="AQ143" i="6"/>
  <c r="AC143" i="6"/>
  <c r="AE143" i="6"/>
  <c r="BE143" i="6"/>
  <c r="AY143" i="6"/>
  <c r="BA143" i="6"/>
  <c r="AF143" i="6"/>
  <c r="AH143" i="6"/>
  <c r="AO143" i="6"/>
  <c r="BG143" i="6"/>
  <c r="BB143" i="6"/>
  <c r="AB143" i="6"/>
  <c r="AK143" i="6"/>
  <c r="AU143" i="6"/>
  <c r="AR143" i="6"/>
  <c r="AT143" i="6"/>
  <c r="AZ143" i="6"/>
  <c r="AD143" i="6"/>
  <c r="AK145" i="6"/>
  <c r="F150" i="6"/>
  <c r="AR146" i="6" l="1"/>
  <c r="BF146" i="6"/>
  <c r="BG146" i="6"/>
  <c r="BB146" i="6"/>
  <c r="AM146" i="6"/>
  <c r="F147" i="5"/>
  <c r="F148" i="5" s="1"/>
  <c r="AU146" i="6"/>
  <c r="H146" i="6"/>
  <c r="T146" i="5" s="1"/>
  <c r="G146" i="12" s="1"/>
  <c r="AT146" i="6"/>
  <c r="AN146" i="6"/>
  <c r="M146" i="6"/>
  <c r="BA146" i="6"/>
  <c r="AZ146" i="6"/>
  <c r="AD147" i="5"/>
  <c r="B147" i="5"/>
  <c r="B148" i="5" s="1"/>
  <c r="B147" i="6"/>
  <c r="A147" i="12"/>
  <c r="L147" i="12" s="1"/>
  <c r="E147" i="5"/>
  <c r="E148" i="5" s="1"/>
  <c r="N147" i="5"/>
  <c r="D147" i="6" s="1"/>
  <c r="H147" i="6" s="1"/>
  <c r="T147" i="5" s="1"/>
  <c r="G147" i="12" s="1"/>
  <c r="AE147" i="5"/>
  <c r="K147" i="5"/>
  <c r="J147" i="5"/>
  <c r="D147" i="5"/>
  <c r="B147" i="12" s="1"/>
  <c r="G147" i="5"/>
  <c r="G148" i="5" s="1"/>
  <c r="BC146" i="6"/>
  <c r="AS146" i="6"/>
  <c r="BD146" i="6"/>
  <c r="BE146" i="6"/>
  <c r="AO146" i="6"/>
  <c r="AX146" i="6"/>
  <c r="AY146" i="6"/>
  <c r="AP146" i="6"/>
  <c r="AQ146" i="6"/>
  <c r="G146" i="6"/>
  <c r="AV146" i="6"/>
  <c r="H147" i="5"/>
  <c r="H148" i="5" s="1"/>
  <c r="AF145" i="6"/>
  <c r="AE145" i="6"/>
  <c r="AD145" i="6"/>
  <c r="AI145" i="6"/>
  <c r="AJ145" i="6"/>
  <c r="AH145" i="6"/>
  <c r="AC145" i="6"/>
  <c r="AB145" i="6"/>
  <c r="AG145" i="6"/>
  <c r="AU144" i="6"/>
  <c r="AE144" i="6"/>
  <c r="AZ144" i="6"/>
  <c r="AG144" i="6"/>
  <c r="BD144" i="6"/>
  <c r="AH144" i="6"/>
  <c r="AR144" i="6"/>
  <c r="AN144" i="6"/>
  <c r="AM144" i="6"/>
  <c r="BF144" i="6"/>
  <c r="BG144" i="6"/>
  <c r="AP144" i="6"/>
  <c r="AD144" i="6"/>
  <c r="AX144" i="6"/>
  <c r="AJ144" i="6"/>
  <c r="AS144" i="6"/>
  <c r="AQ144" i="6"/>
  <c r="BC144" i="6"/>
  <c r="BE144" i="6"/>
  <c r="AY144" i="6"/>
  <c r="AT144" i="6"/>
  <c r="AK144" i="6"/>
  <c r="AF144" i="6"/>
  <c r="AC144" i="6"/>
  <c r="AB144" i="6"/>
  <c r="BB144" i="6"/>
  <c r="AI144" i="6"/>
  <c r="AV144" i="6"/>
  <c r="BA144" i="6"/>
  <c r="A148" i="12"/>
  <c r="J148" i="5"/>
  <c r="AD148" i="5"/>
  <c r="N148" i="5"/>
  <c r="D148" i="6" s="1"/>
  <c r="H148" i="6" s="1"/>
  <c r="T148" i="5" s="1"/>
  <c r="G148" i="12" s="1"/>
  <c r="D148" i="5"/>
  <c r="B148" i="12" s="1"/>
  <c r="K148" i="5"/>
  <c r="AE148" i="5"/>
  <c r="C149" i="5"/>
  <c r="B148" i="6"/>
  <c r="E150" i="12"/>
  <c r="A147" i="6" l="1"/>
  <c r="N147" i="6" s="1"/>
  <c r="AE146" i="6"/>
  <c r="AG146" i="6"/>
  <c r="J147" i="12"/>
  <c r="K147" i="12" s="1"/>
  <c r="AF146" i="6"/>
  <c r="AK146" i="6"/>
  <c r="AD146" i="6"/>
  <c r="AB146" i="6"/>
  <c r="AJ146" i="6"/>
  <c r="AI146" i="6"/>
  <c r="AC146" i="6"/>
  <c r="AH146" i="6"/>
  <c r="A148" i="6"/>
  <c r="N148" i="6" s="1"/>
  <c r="AD149" i="5"/>
  <c r="D149" i="5"/>
  <c r="B149" i="12" s="1"/>
  <c r="G149" i="5"/>
  <c r="B149" i="6"/>
  <c r="AE149" i="5"/>
  <c r="K149" i="5"/>
  <c r="B149" i="5"/>
  <c r="C150" i="5" s="1"/>
  <c r="F149" i="5"/>
  <c r="E149" i="5"/>
  <c r="J149" i="5"/>
  <c r="A149" i="12"/>
  <c r="H149" i="5"/>
  <c r="N149" i="5"/>
  <c r="D149" i="6" s="1"/>
  <c r="H149" i="6" s="1"/>
  <c r="T149" i="5" s="1"/>
  <c r="G149" i="12" s="1"/>
  <c r="J148" i="12"/>
  <c r="L148" i="12"/>
  <c r="M147" i="6" l="1"/>
  <c r="AB147" i="6" s="1"/>
  <c r="K148" i="12"/>
  <c r="M148" i="6"/>
  <c r="A149" i="6"/>
  <c r="L149" i="12"/>
  <c r="J149" i="12"/>
  <c r="AD150" i="5"/>
  <c r="E150" i="5"/>
  <c r="F150" i="5"/>
  <c r="N150" i="5"/>
  <c r="D150" i="6" s="1"/>
  <c r="BD150" i="6" s="1"/>
  <c r="AE150" i="5"/>
  <c r="A150" i="12"/>
  <c r="W150" i="5"/>
  <c r="H150" i="12" s="1"/>
  <c r="B150" i="5"/>
  <c r="H150" i="5"/>
  <c r="C151" i="5"/>
  <c r="G150" i="5"/>
  <c r="B150" i="6"/>
  <c r="A150" i="6" s="1"/>
  <c r="AM147" i="6" l="1"/>
  <c r="AD147" i="6"/>
  <c r="BD147" i="6"/>
  <c r="AP147" i="6"/>
  <c r="AX147" i="6"/>
  <c r="BC147" i="6"/>
  <c r="AH147" i="6"/>
  <c r="AK147" i="6"/>
  <c r="BE147" i="6"/>
  <c r="AS147" i="6"/>
  <c r="BB147" i="6"/>
  <c r="AT147" i="6"/>
  <c r="AJ147" i="6"/>
  <c r="AN147" i="6"/>
  <c r="AG147" i="6"/>
  <c r="BA147" i="6"/>
  <c r="AV147" i="6"/>
  <c r="AF147" i="6"/>
  <c r="AQ147" i="6"/>
  <c r="AZ147" i="6"/>
  <c r="AY147" i="6"/>
  <c r="AC147" i="6"/>
  <c r="AE147" i="6"/>
  <c r="AI147" i="6"/>
  <c r="AR147" i="6"/>
  <c r="AU147" i="6"/>
  <c r="AO147" i="6"/>
  <c r="BG147" i="6"/>
  <c r="BF147" i="6"/>
  <c r="AN150" i="6"/>
  <c r="AR150" i="6"/>
  <c r="AV150" i="6"/>
  <c r="BC150" i="6"/>
  <c r="AP150" i="6"/>
  <c r="BB150" i="6"/>
  <c r="BA150" i="6"/>
  <c r="BE150" i="6"/>
  <c r="AQ150" i="6"/>
  <c r="AO150" i="6"/>
  <c r="BG150" i="6"/>
  <c r="AX150" i="6"/>
  <c r="AU150" i="6"/>
  <c r="AZ150" i="6"/>
  <c r="AM150" i="6"/>
  <c r="BB148" i="6"/>
  <c r="AX148" i="6"/>
  <c r="AC148" i="6"/>
  <c r="AI148" i="6"/>
  <c r="AK148" i="6"/>
  <c r="BC148" i="6"/>
  <c r="AP148" i="6"/>
  <c r="BF148" i="6"/>
  <c r="AU148" i="6"/>
  <c r="AY148" i="6"/>
  <c r="AE148" i="6"/>
  <c r="BE148" i="6"/>
  <c r="BD148" i="6"/>
  <c r="AO148" i="6"/>
  <c r="AR148" i="6"/>
  <c r="AZ148" i="6"/>
  <c r="AN148" i="6"/>
  <c r="AJ148" i="6"/>
  <c r="AB148" i="6"/>
  <c r="AV148" i="6"/>
  <c r="AF148" i="6"/>
  <c r="AH148" i="6"/>
  <c r="AG148" i="6"/>
  <c r="AS148" i="6"/>
  <c r="AM148" i="6"/>
  <c r="BG148" i="6"/>
  <c r="BA148" i="6"/>
  <c r="AT148" i="6"/>
  <c r="AD148" i="6"/>
  <c r="AQ148" i="6"/>
  <c r="AT150" i="6"/>
  <c r="AY150" i="6"/>
  <c r="BF150" i="6"/>
  <c r="AS150" i="6"/>
  <c r="W151" i="5"/>
  <c r="H151" i="12" s="1"/>
  <c r="I151" i="5"/>
  <c r="C152" i="5"/>
  <c r="AD151" i="5"/>
  <c r="E151" i="5"/>
  <c r="AE151" i="5"/>
  <c r="B151" i="6"/>
  <c r="A151" i="6" s="1"/>
  <c r="H151" i="5"/>
  <c r="N151" i="5"/>
  <c r="D151" i="6" s="1"/>
  <c r="A151" i="12"/>
  <c r="G151" i="5"/>
  <c r="B151" i="5"/>
  <c r="F151" i="5"/>
  <c r="M149" i="6"/>
  <c r="N149" i="6"/>
  <c r="H150" i="6"/>
  <c r="M150" i="6"/>
  <c r="N150" i="6"/>
  <c r="G150" i="6"/>
  <c r="K149" i="12"/>
  <c r="AJ150" i="6" l="1"/>
  <c r="T150" i="5"/>
  <c r="G150" i="12" s="1"/>
  <c r="AH150" i="6"/>
  <c r="AG150" i="6"/>
  <c r="AK150" i="6"/>
  <c r="AB150" i="6"/>
  <c r="AD150" i="6"/>
  <c r="AF150" i="6"/>
  <c r="AC150" i="6"/>
  <c r="AE150" i="6"/>
  <c r="AI150" i="6"/>
  <c r="A152" i="12"/>
  <c r="G152" i="5"/>
  <c r="AD152" i="5"/>
  <c r="N152" i="5"/>
  <c r="D152" i="6" s="1"/>
  <c r="H152" i="6" s="1"/>
  <c r="T152" i="5" s="1"/>
  <c r="G152" i="12" s="1"/>
  <c r="E152" i="5"/>
  <c r="K152" i="5"/>
  <c r="B152" i="6"/>
  <c r="F152" i="5"/>
  <c r="D152" i="5"/>
  <c r="B152" i="12" s="1"/>
  <c r="J152" i="5"/>
  <c r="B152" i="5"/>
  <c r="H152" i="5"/>
  <c r="AE152" i="5"/>
  <c r="BC149" i="6"/>
  <c r="AP149" i="6"/>
  <c r="AD149" i="6"/>
  <c r="AR149" i="6"/>
  <c r="BG149" i="6"/>
  <c r="BB149" i="6"/>
  <c r="AX149" i="6"/>
  <c r="BE149" i="6"/>
  <c r="AE149" i="6"/>
  <c r="AS149" i="6"/>
  <c r="AQ149" i="6"/>
  <c r="AG149" i="6"/>
  <c r="AV149" i="6"/>
  <c r="AT149" i="6"/>
  <c r="AI149" i="6"/>
  <c r="AH149" i="6"/>
  <c r="AN149" i="6"/>
  <c r="AO149" i="6"/>
  <c r="BD149" i="6"/>
  <c r="AU149" i="6"/>
  <c r="AY149" i="6"/>
  <c r="AF149" i="6"/>
  <c r="AJ149" i="6"/>
  <c r="AK149" i="6"/>
  <c r="AZ149" i="6"/>
  <c r="AB149" i="6"/>
  <c r="AC149" i="6"/>
  <c r="BA149" i="6"/>
  <c r="AM149" i="6"/>
  <c r="BF149" i="6"/>
  <c r="AY151" i="6"/>
  <c r="BE151" i="6"/>
  <c r="H151" i="6"/>
  <c r="BD151" i="6"/>
  <c r="AR151" i="6"/>
  <c r="N151" i="6"/>
  <c r="BF151" i="6"/>
  <c r="M151" i="6"/>
  <c r="BC151" i="6" s="1"/>
  <c r="AN151" i="6"/>
  <c r="AX151" i="6"/>
  <c r="AO151" i="6"/>
  <c r="AM151" i="6"/>
  <c r="BG151" i="6"/>
  <c r="AS151" i="6"/>
  <c r="AQ151" i="6"/>
  <c r="AZ151" i="6"/>
  <c r="AU151" i="6"/>
  <c r="BB151" i="6"/>
  <c r="AP151" i="6"/>
  <c r="AT151" i="6"/>
  <c r="AV151" i="6"/>
  <c r="BA151" i="6"/>
  <c r="G151" i="6"/>
  <c r="K51" i="5"/>
  <c r="A152" i="6" l="1"/>
  <c r="T151" i="5"/>
  <c r="G151" i="12" s="1"/>
  <c r="AC151" i="6"/>
  <c r="AE151" i="6"/>
  <c r="AB151" i="6"/>
  <c r="AK151" i="6"/>
  <c r="AD151" i="6"/>
  <c r="AI151" i="6"/>
  <c r="AH151" i="6"/>
  <c r="AG151" i="6"/>
  <c r="J152" i="12"/>
  <c r="L152" i="12"/>
  <c r="AJ151" i="6"/>
  <c r="AF151" i="6"/>
  <c r="K152" i="12" l="1"/>
  <c r="N152" i="6"/>
  <c r="M152" i="6"/>
  <c r="AG152" i="6" l="1"/>
  <c r="AJ152" i="6"/>
  <c r="BF152" i="6"/>
  <c r="AF152" i="6"/>
  <c r="AU152" i="6"/>
  <c r="AI152" i="6"/>
  <c r="AR152" i="6"/>
  <c r="AM152" i="6"/>
  <c r="AX152" i="6"/>
  <c r="BE152" i="6"/>
  <c r="AY152" i="6"/>
  <c r="AD152" i="6"/>
  <c r="AQ152" i="6"/>
  <c r="BB152" i="6"/>
  <c r="AB152" i="6"/>
  <c r="AE152" i="6"/>
  <c r="AC152" i="6"/>
  <c r="BD152" i="6"/>
  <c r="AV152" i="6"/>
  <c r="AK152" i="6"/>
  <c r="AN152" i="6"/>
  <c r="BC152" i="6"/>
  <c r="AS152" i="6"/>
  <c r="BG152" i="6"/>
  <c r="AO152" i="6"/>
  <c r="BA152" i="6"/>
  <c r="AH152" i="6"/>
  <c r="AP152" i="6"/>
  <c r="AZ152" i="6"/>
  <c r="AT152" i="6"/>
  <c r="J46" i="5"/>
  <c r="K46" i="5"/>
  <c r="J41" i="5"/>
  <c r="K41" i="5"/>
  <c r="K40" i="5"/>
  <c r="J39" i="5"/>
  <c r="K39" i="5"/>
  <c r="J33" i="5"/>
  <c r="K33" i="5"/>
  <c r="J28" i="5"/>
  <c r="D28" i="5" s="1"/>
  <c r="B28" i="12" s="1"/>
  <c r="A16" i="13"/>
  <c r="K27" i="5"/>
  <c r="B16" i="11"/>
  <c r="A17" i="13"/>
  <c r="B17" i="11"/>
  <c r="D46" i="5" l="1"/>
  <c r="D41" i="5"/>
  <c r="D39" i="5"/>
  <c r="B39" i="12" s="1"/>
  <c r="K17" i="11"/>
  <c r="J17" i="13" s="1"/>
  <c r="C17" i="13"/>
  <c r="G17" i="11"/>
  <c r="F17" i="13" s="1"/>
  <c r="G16" i="11"/>
  <c r="F16" i="13" s="1"/>
  <c r="C16" i="13"/>
  <c r="K16" i="11"/>
  <c r="J16" i="13" s="1"/>
  <c r="AC19" i="13"/>
  <c r="D33" i="5"/>
  <c r="C153" i="5" l="1"/>
  <c r="K71" i="5"/>
  <c r="J58" i="5"/>
  <c r="D58" i="5" s="1"/>
  <c r="J51" i="5"/>
  <c r="D51" i="5" s="1"/>
  <c r="B51" i="12" s="1"/>
  <c r="J62" i="5"/>
  <c r="K50" i="5"/>
  <c r="A18" i="13"/>
  <c r="B18" i="11"/>
  <c r="B46" i="12"/>
  <c r="B41" i="12"/>
  <c r="B33" i="12"/>
  <c r="K16" i="13"/>
  <c r="K17" i="13"/>
  <c r="A153" i="12" l="1"/>
  <c r="B153" i="5"/>
  <c r="C154" i="5"/>
  <c r="AD153" i="5"/>
  <c r="J153" i="5"/>
  <c r="K153" i="5"/>
  <c r="N153" i="5"/>
  <c r="D153" i="5"/>
  <c r="B153" i="12" s="1"/>
  <c r="B153" i="6"/>
  <c r="F153" i="5"/>
  <c r="G153" i="5"/>
  <c r="E153" i="5"/>
  <c r="AE153" i="5"/>
  <c r="H153" i="5"/>
  <c r="B58" i="12"/>
  <c r="C18" i="13"/>
  <c r="K18" i="11"/>
  <c r="J18" i="13" s="1"/>
  <c r="G18" i="11"/>
  <c r="F18" i="13" s="1"/>
  <c r="L153" i="12" l="1"/>
  <c r="J153" i="12"/>
  <c r="D153" i="6"/>
  <c r="H154" i="5"/>
  <c r="G154" i="5"/>
  <c r="B154" i="5"/>
  <c r="E154" i="5"/>
  <c r="B154" i="6"/>
  <c r="AE154" i="5"/>
  <c r="AD154" i="5"/>
  <c r="K154" i="5"/>
  <c r="F154" i="5"/>
  <c r="N154" i="5"/>
  <c r="D154" i="5"/>
  <c r="B154" i="12" s="1"/>
  <c r="C155" i="5"/>
  <c r="A154" i="12"/>
  <c r="J154" i="5"/>
  <c r="K23" i="5"/>
  <c r="D23" i="5" s="1"/>
  <c r="B23" i="12" s="1"/>
  <c r="K145" i="5"/>
  <c r="K122" i="5"/>
  <c r="K77" i="5"/>
  <c r="D77" i="5" s="1"/>
  <c r="B77" i="12" s="1"/>
  <c r="K80" i="5"/>
  <c r="K70" i="5"/>
  <c r="B20" i="11"/>
  <c r="A20" i="13"/>
  <c r="B22" i="11"/>
  <c r="A19" i="13"/>
  <c r="A22" i="13"/>
  <c r="A21" i="13"/>
  <c r="B21" i="11"/>
  <c r="B19" i="11"/>
  <c r="J142" i="5"/>
  <c r="J84" i="5"/>
  <c r="D84" i="5" s="1"/>
  <c r="B84" i="12" s="1"/>
  <c r="J127" i="5"/>
  <c r="D127" i="5" s="1"/>
  <c r="B127" i="12" s="1"/>
  <c r="J81" i="5"/>
  <c r="D81" i="5" s="1"/>
  <c r="B81" i="12" s="1"/>
  <c r="J71" i="5"/>
  <c r="D71" i="5" s="1"/>
  <c r="B71" i="12" s="1"/>
  <c r="J123" i="5"/>
  <c r="D123" i="5" s="1"/>
  <c r="B123" i="12" s="1"/>
  <c r="J146" i="5"/>
  <c r="J98" i="5"/>
  <c r="J117" i="5"/>
  <c r="K18" i="13"/>
  <c r="AD12" i="13"/>
  <c r="K153" i="12" l="1"/>
  <c r="A153" i="6"/>
  <c r="N153" i="6" s="1"/>
  <c r="J154" i="12"/>
  <c r="L154" i="12"/>
  <c r="D154" i="6"/>
  <c r="H153" i="6"/>
  <c r="T153" i="5" s="1"/>
  <c r="AE155" i="5"/>
  <c r="H155" i="5"/>
  <c r="G155" i="5"/>
  <c r="B155" i="6"/>
  <c r="J155" i="5"/>
  <c r="N155" i="5"/>
  <c r="D155" i="5"/>
  <c r="B155" i="12" s="1"/>
  <c r="F155" i="5"/>
  <c r="E155" i="5"/>
  <c r="A155" i="12"/>
  <c r="B155" i="5"/>
  <c r="AD155" i="5"/>
  <c r="K155" i="5"/>
  <c r="B23" i="11"/>
  <c r="G23" i="11" s="1"/>
  <c r="F23" i="13" s="1"/>
  <c r="J17" i="5"/>
  <c r="K17" i="5"/>
  <c r="K21" i="11"/>
  <c r="J21" i="13" s="1"/>
  <c r="G21" i="11"/>
  <c r="F21" i="13" s="1"/>
  <c r="C21" i="13"/>
  <c r="K22" i="11"/>
  <c r="J22" i="13" s="1"/>
  <c r="G22" i="11"/>
  <c r="F22" i="13" s="1"/>
  <c r="C22" i="13"/>
  <c r="K20" i="11"/>
  <c r="J20" i="13" s="1"/>
  <c r="G20" i="11"/>
  <c r="F20" i="13" s="1"/>
  <c r="C20" i="13"/>
  <c r="K19" i="11"/>
  <c r="J19" i="13" s="1"/>
  <c r="C19" i="13"/>
  <c r="G19" i="11"/>
  <c r="F19" i="13" s="1"/>
  <c r="M153" i="6" l="1"/>
  <c r="AV153" i="6" s="1"/>
  <c r="C156" i="5"/>
  <c r="E156" i="5" s="1"/>
  <c r="L155" i="12"/>
  <c r="J155" i="12"/>
  <c r="G153" i="12"/>
  <c r="K154" i="12"/>
  <c r="D155" i="6"/>
  <c r="H154" i="6"/>
  <c r="T154" i="5" s="1"/>
  <c r="A154" i="6"/>
  <c r="K23" i="11"/>
  <c r="J23" i="13" s="1"/>
  <c r="C23" i="13"/>
  <c r="K23" i="13" s="1"/>
  <c r="D17" i="5"/>
  <c r="B17" i="12" s="1"/>
  <c r="K19" i="13"/>
  <c r="K20" i="13"/>
  <c r="K21" i="13"/>
  <c r="K22" i="13"/>
  <c r="AD153" i="6" l="1"/>
  <c r="BB153" i="6"/>
  <c r="AH153" i="6"/>
  <c r="AE153" i="6"/>
  <c r="AO153" i="6"/>
  <c r="BC153" i="6"/>
  <c r="BG153" i="6"/>
  <c r="BE153" i="6"/>
  <c r="BF153" i="6"/>
  <c r="AB153" i="6"/>
  <c r="AC153" i="6"/>
  <c r="AM153" i="6"/>
  <c r="AX153" i="6"/>
  <c r="AU153" i="6"/>
  <c r="AY153" i="6"/>
  <c r="AF153" i="6"/>
  <c r="AR153" i="6"/>
  <c r="AZ153" i="6"/>
  <c r="BD153" i="6"/>
  <c r="AK153" i="6"/>
  <c r="BA153" i="6"/>
  <c r="AT153" i="6"/>
  <c r="AI153" i="6"/>
  <c r="AQ153" i="6"/>
  <c r="AN153" i="6"/>
  <c r="AP153" i="6"/>
  <c r="AS153" i="6"/>
  <c r="AG153" i="6"/>
  <c r="AJ153" i="6"/>
  <c r="H156" i="5"/>
  <c r="AD156" i="5"/>
  <c r="N156" i="5"/>
  <c r="D156" i="6" s="1"/>
  <c r="G156" i="6" s="1"/>
  <c r="W156" i="5"/>
  <c r="H156" i="12" s="1"/>
  <c r="A156" i="12"/>
  <c r="C157" i="5"/>
  <c r="B156" i="6"/>
  <c r="AE156" i="5"/>
  <c r="G156" i="5"/>
  <c r="F156" i="5"/>
  <c r="B156" i="5"/>
  <c r="A155" i="6"/>
  <c r="G154" i="12"/>
  <c r="H155" i="6"/>
  <c r="T155" i="5" s="1"/>
  <c r="M154" i="6"/>
  <c r="AH154" i="6" s="1"/>
  <c r="N154" i="6"/>
  <c r="K155" i="12"/>
  <c r="K116" i="5"/>
  <c r="K117" i="5"/>
  <c r="D117" i="5" s="1"/>
  <c r="B117" i="12" s="1"/>
  <c r="H156" i="6" l="1"/>
  <c r="T156" i="5" s="1"/>
  <c r="G156" i="12" s="1"/>
  <c r="F156" i="6"/>
  <c r="E156" i="12"/>
  <c r="C158" i="5"/>
  <c r="AD157" i="5"/>
  <c r="K157" i="5"/>
  <c r="G157" i="5"/>
  <c r="B157" i="6"/>
  <c r="J157" i="5"/>
  <c r="F157" i="5"/>
  <c r="B157" i="5"/>
  <c r="A157" i="12"/>
  <c r="N157" i="5"/>
  <c r="D157" i="6" s="1"/>
  <c r="E157" i="5"/>
  <c r="AE157" i="5"/>
  <c r="H157" i="5"/>
  <c r="D157" i="5"/>
  <c r="B157" i="12" s="1"/>
  <c r="M155" i="6"/>
  <c r="BE155" i="6" s="1"/>
  <c r="A156" i="6"/>
  <c r="N155" i="6"/>
  <c r="G155" i="12"/>
  <c r="AC154" i="6"/>
  <c r="BD154" i="6"/>
  <c r="BG154" i="6"/>
  <c r="AQ154" i="6"/>
  <c r="AY154" i="6"/>
  <c r="AB154" i="6"/>
  <c r="BE154" i="6"/>
  <c r="AT154" i="6"/>
  <c r="AE154" i="6"/>
  <c r="AD154" i="6"/>
  <c r="AJ154" i="6"/>
  <c r="BB154" i="6"/>
  <c r="AG154" i="6"/>
  <c r="AS154" i="6"/>
  <c r="BC154" i="6"/>
  <c r="AU154" i="6"/>
  <c r="AP154" i="6"/>
  <c r="BF154" i="6"/>
  <c r="AV154" i="6"/>
  <c r="AR154" i="6"/>
  <c r="AK154" i="6"/>
  <c r="BA154" i="6"/>
  <c r="AO154" i="6"/>
  <c r="AN154" i="6"/>
  <c r="AZ154" i="6"/>
  <c r="AM154" i="6"/>
  <c r="AX154" i="6"/>
  <c r="AF154" i="6"/>
  <c r="AI154" i="6"/>
  <c r="H158" i="5" l="1"/>
  <c r="A157" i="6"/>
  <c r="N157" i="6" s="1"/>
  <c r="B158" i="5"/>
  <c r="G158" i="5"/>
  <c r="H157" i="6"/>
  <c r="T157" i="5" s="1"/>
  <c r="G157" i="12" s="1"/>
  <c r="E158" i="5"/>
  <c r="AK155" i="6"/>
  <c r="BC155" i="6"/>
  <c r="BF155" i="6"/>
  <c r="AC155" i="6"/>
  <c r="AM155" i="6"/>
  <c r="AX155" i="6"/>
  <c r="AO155" i="6"/>
  <c r="AS155" i="6"/>
  <c r="AN155" i="6"/>
  <c r="AQ155" i="6"/>
  <c r="AZ155" i="6"/>
  <c r="AH155" i="6"/>
  <c r="AD155" i="6"/>
  <c r="J157" i="12"/>
  <c r="L157" i="12"/>
  <c r="A158" i="12"/>
  <c r="AD158" i="5"/>
  <c r="C159" i="5"/>
  <c r="D158" i="5"/>
  <c r="B158" i="12" s="1"/>
  <c r="AE158" i="5"/>
  <c r="K158" i="5"/>
  <c r="B158" i="6"/>
  <c r="N158" i="5"/>
  <c r="D158" i="6" s="1"/>
  <c r="H158" i="6" s="1"/>
  <c r="T158" i="5" s="1"/>
  <c r="G158" i="12" s="1"/>
  <c r="J158" i="5"/>
  <c r="BD155" i="6"/>
  <c r="AE155" i="6"/>
  <c r="BG155" i="6"/>
  <c r="F158" i="5"/>
  <c r="AG155" i="6"/>
  <c r="AR155" i="6"/>
  <c r="AT155" i="6"/>
  <c r="AJ155" i="6"/>
  <c r="AV155" i="6"/>
  <c r="BA155" i="6"/>
  <c r="AF155" i="6"/>
  <c r="N156" i="6"/>
  <c r="M156" i="6"/>
  <c r="AP155" i="6"/>
  <c r="BB155" i="6"/>
  <c r="AB155" i="6"/>
  <c r="AI155" i="6"/>
  <c r="AY155" i="6"/>
  <c r="AU155" i="6"/>
  <c r="M157" i="6" l="1"/>
  <c r="AB157" i="6" s="1"/>
  <c r="A158" i="6"/>
  <c r="N158" i="6" s="1"/>
  <c r="K157" i="12"/>
  <c r="L158" i="12"/>
  <c r="J158" i="12"/>
  <c r="G159" i="5"/>
  <c r="AE159" i="5"/>
  <c r="H159" i="5"/>
  <c r="B159" i="6"/>
  <c r="J159" i="5"/>
  <c r="N159" i="5"/>
  <c r="D159" i="6" s="1"/>
  <c r="H159" i="6" s="1"/>
  <c r="T159" i="5" s="1"/>
  <c r="G159" i="12" s="1"/>
  <c r="D159" i="5"/>
  <c r="B159" i="12" s="1"/>
  <c r="F159" i="5"/>
  <c r="A159" i="12"/>
  <c r="E159" i="5"/>
  <c r="K159" i="5"/>
  <c r="B159" i="5"/>
  <c r="AD159" i="5"/>
  <c r="BE156" i="6"/>
  <c r="AN156" i="6"/>
  <c r="BD156" i="6"/>
  <c r="AM156" i="6"/>
  <c r="BG156" i="6"/>
  <c r="AP156" i="6"/>
  <c r="AS156" i="6"/>
  <c r="AB156" i="6"/>
  <c r="BA156" i="6"/>
  <c r="AZ156" i="6"/>
  <c r="BC156" i="6"/>
  <c r="BF156" i="6"/>
  <c r="AO156" i="6"/>
  <c r="AV156" i="6"/>
  <c r="AU156" i="6"/>
  <c r="AY156" i="6"/>
  <c r="BB156" i="6"/>
  <c r="AR156" i="6"/>
  <c r="AQ156" i="6"/>
  <c r="AT156" i="6"/>
  <c r="AX156" i="6"/>
  <c r="AF156" i="6"/>
  <c r="AJ156" i="6"/>
  <c r="AK156" i="6"/>
  <c r="AC156" i="6"/>
  <c r="AG156" i="6"/>
  <c r="AH156" i="6"/>
  <c r="AD156" i="6"/>
  <c r="AI156" i="6"/>
  <c r="AE156" i="6"/>
  <c r="C160" i="5"/>
  <c r="F28" i="6"/>
  <c r="E28" i="12"/>
  <c r="G71" i="6"/>
  <c r="E71" i="12"/>
  <c r="F71" i="6"/>
  <c r="AX157" i="6" l="1"/>
  <c r="BF157" i="6"/>
  <c r="AV157" i="6"/>
  <c r="BG157" i="6"/>
  <c r="AN157" i="6"/>
  <c r="AQ157" i="6"/>
  <c r="AH157" i="6"/>
  <c r="BE157" i="6"/>
  <c r="AS157" i="6"/>
  <c r="AY157" i="6"/>
  <c r="AO157" i="6"/>
  <c r="AT157" i="6"/>
  <c r="AP157" i="6"/>
  <c r="BB157" i="6"/>
  <c r="AC157" i="6"/>
  <c r="AU157" i="6"/>
  <c r="BA157" i="6"/>
  <c r="AK157" i="6"/>
  <c r="AR157" i="6"/>
  <c r="AJ157" i="6"/>
  <c r="AF157" i="6"/>
  <c r="AI157" i="6"/>
  <c r="AD157" i="6"/>
  <c r="AE157" i="6"/>
  <c r="BC157" i="6"/>
  <c r="BD157" i="6"/>
  <c r="AG157" i="6"/>
  <c r="AM157" i="6"/>
  <c r="AZ157" i="6"/>
  <c r="M158" i="6"/>
  <c r="AU158" i="6" s="1"/>
  <c r="A159" i="6"/>
  <c r="M159" i="6" s="1"/>
  <c r="K158" i="12"/>
  <c r="L159" i="12"/>
  <c r="J159" i="12"/>
  <c r="C161" i="5"/>
  <c r="C162" i="5" s="1"/>
  <c r="B160" i="5"/>
  <c r="AE160" i="5"/>
  <c r="E160" i="5"/>
  <c r="K160" i="5"/>
  <c r="B160" i="6"/>
  <c r="J160" i="5"/>
  <c r="G160" i="5"/>
  <c r="H160" i="5"/>
  <c r="F160" i="5"/>
  <c r="N160" i="5"/>
  <c r="D160" i="6" s="1"/>
  <c r="A160" i="12"/>
  <c r="AD160" i="5"/>
  <c r="D160" i="5"/>
  <c r="B160" i="12" s="1"/>
  <c r="N80" i="6"/>
  <c r="N77" i="6"/>
  <c r="N78" i="6"/>
  <c r="N79" i="6"/>
  <c r="N72" i="6"/>
  <c r="N73" i="6"/>
  <c r="N74" i="6"/>
  <c r="N75" i="6"/>
  <c r="N76" i="6"/>
  <c r="N34" i="6"/>
  <c r="N35" i="6"/>
  <c r="N36" i="6"/>
  <c r="N37" i="6"/>
  <c r="N39" i="6"/>
  <c r="N32" i="6"/>
  <c r="N29" i="6"/>
  <c r="N30" i="6"/>
  <c r="N33" i="6"/>
  <c r="N31" i="6"/>
  <c r="N159" i="6" l="1"/>
  <c r="BB158" i="6"/>
  <c r="AV158" i="6"/>
  <c r="BA158" i="6"/>
  <c r="AN158" i="6"/>
  <c r="AJ158" i="6"/>
  <c r="AG158" i="6"/>
  <c r="AY158" i="6"/>
  <c r="BD158" i="6"/>
  <c r="AT158" i="6"/>
  <c r="AO158" i="6"/>
  <c r="AX158" i="6"/>
  <c r="AH158" i="6"/>
  <c r="AZ158" i="6"/>
  <c r="BF158" i="6"/>
  <c r="AB158" i="6"/>
  <c r="AS158" i="6"/>
  <c r="BE158" i="6"/>
  <c r="AR158" i="6"/>
  <c r="AC158" i="6"/>
  <c r="AK158" i="6"/>
  <c r="AI158" i="6"/>
  <c r="BC158" i="6"/>
  <c r="AP158" i="6"/>
  <c r="AM158" i="6"/>
  <c r="BG158" i="6"/>
  <c r="AQ158" i="6"/>
  <c r="AF158" i="6"/>
  <c r="AD158" i="6"/>
  <c r="AE158" i="6"/>
  <c r="K159" i="12"/>
  <c r="B162" i="6"/>
  <c r="A162" i="12"/>
  <c r="J162" i="5"/>
  <c r="AE162" i="5"/>
  <c r="N162" i="5"/>
  <c r="AD162" i="5"/>
  <c r="D162" i="5"/>
  <c r="B162" i="12" s="1"/>
  <c r="K162" i="5"/>
  <c r="J160" i="12"/>
  <c r="L160" i="12"/>
  <c r="H160" i="6"/>
  <c r="T160" i="5" s="1"/>
  <c r="G160" i="12" s="1"/>
  <c r="BE159" i="6"/>
  <c r="AN159" i="6"/>
  <c r="BD159" i="6"/>
  <c r="AM159" i="6"/>
  <c r="BF159" i="6"/>
  <c r="AO159" i="6"/>
  <c r="AP159" i="6"/>
  <c r="AY159" i="6"/>
  <c r="BA159" i="6"/>
  <c r="AZ159" i="6"/>
  <c r="BB159" i="6"/>
  <c r="AT159" i="6"/>
  <c r="AG159" i="6"/>
  <c r="AV159" i="6"/>
  <c r="AU159" i="6"/>
  <c r="AX159" i="6"/>
  <c r="BC159" i="6"/>
  <c r="AR159" i="6"/>
  <c r="AQ159" i="6"/>
  <c r="AS159" i="6"/>
  <c r="BG159" i="6"/>
  <c r="AE159" i="6"/>
  <c r="AI159" i="6"/>
  <c r="AC159" i="6"/>
  <c r="AK159" i="6"/>
  <c r="AF159" i="6"/>
  <c r="AJ159" i="6"/>
  <c r="AB159" i="6"/>
  <c r="AD159" i="6"/>
  <c r="AH159" i="6"/>
  <c r="H161" i="5"/>
  <c r="H162" i="5" s="1"/>
  <c r="N161" i="5"/>
  <c r="D161" i="6" s="1"/>
  <c r="B161" i="5"/>
  <c r="K161" i="5"/>
  <c r="J161" i="5"/>
  <c r="E161" i="5"/>
  <c r="E162" i="5" s="1"/>
  <c r="A161" i="12"/>
  <c r="G161" i="5"/>
  <c r="G162" i="5" s="1"/>
  <c r="D161" i="5"/>
  <c r="B161" i="12" s="1"/>
  <c r="AD161" i="5"/>
  <c r="AE161" i="5"/>
  <c r="F161" i="5"/>
  <c r="F162" i="5" s="1"/>
  <c r="B161" i="6"/>
  <c r="J162" i="12" l="1"/>
  <c r="L162" i="12"/>
  <c r="D162" i="6"/>
  <c r="B162" i="5"/>
  <c r="J161" i="12"/>
  <c r="L161" i="12"/>
  <c r="H161" i="6"/>
  <c r="T161" i="5" s="1"/>
  <c r="G161" i="12" s="1"/>
  <c r="K160" i="12"/>
  <c r="I58" i="5"/>
  <c r="I40" i="5"/>
  <c r="I41" i="5" s="1"/>
  <c r="K162" i="12" l="1"/>
  <c r="H162" i="6"/>
  <c r="T162" i="5" s="1"/>
  <c r="K161" i="12"/>
  <c r="A160" i="6"/>
  <c r="A23" i="13"/>
  <c r="I46" i="5"/>
  <c r="W71" i="5"/>
  <c r="H71" i="12" s="1"/>
  <c r="G162" i="12" l="1"/>
  <c r="M160" i="6"/>
  <c r="N160" i="6"/>
  <c r="A161" i="6"/>
  <c r="A162" i="6" s="1"/>
  <c r="I71" i="5"/>
  <c r="N162" i="6" l="1"/>
  <c r="M162" i="6"/>
  <c r="AM160" i="6"/>
  <c r="BE160" i="6"/>
  <c r="BD160" i="6"/>
  <c r="BF160" i="6"/>
  <c r="AU160" i="6"/>
  <c r="AQ160" i="6"/>
  <c r="AN160" i="6"/>
  <c r="BB160" i="6"/>
  <c r="AY160" i="6"/>
  <c r="AO160" i="6"/>
  <c r="AT160" i="6"/>
  <c r="AZ160" i="6"/>
  <c r="BG160" i="6"/>
  <c r="BA160" i="6"/>
  <c r="AX160" i="6"/>
  <c r="AR160" i="6"/>
  <c r="AP160" i="6"/>
  <c r="AV160" i="6"/>
  <c r="BC160" i="6"/>
  <c r="AE160" i="6"/>
  <c r="AS160" i="6"/>
  <c r="AF160" i="6"/>
  <c r="AJ160" i="6"/>
  <c r="AC160" i="6"/>
  <c r="AK160" i="6"/>
  <c r="AD160" i="6"/>
  <c r="AB160" i="6"/>
  <c r="AH160" i="6"/>
  <c r="AG160" i="6"/>
  <c r="AI160" i="6"/>
  <c r="N161" i="6"/>
  <c r="M161" i="6"/>
  <c r="J39" i="12"/>
  <c r="L39" i="12"/>
  <c r="C163" i="5" l="1"/>
  <c r="BA162" i="6"/>
  <c r="AZ162" i="6"/>
  <c r="AH162" i="6"/>
  <c r="AY162" i="6"/>
  <c r="BF162" i="6"/>
  <c r="AT162" i="6"/>
  <c r="AJ162" i="6"/>
  <c r="AV162" i="6"/>
  <c r="AU162" i="6"/>
  <c r="AP162" i="6"/>
  <c r="AX162" i="6"/>
  <c r="AS162" i="6"/>
  <c r="AK162" i="6"/>
  <c r="AR162" i="6"/>
  <c r="AQ162" i="6"/>
  <c r="AO162" i="6"/>
  <c r="BE162" i="6"/>
  <c r="AN162" i="6"/>
  <c r="BD162" i="6"/>
  <c r="AM162" i="6"/>
  <c r="BG162" i="6"/>
  <c r="AF162" i="6"/>
  <c r="BC162" i="6"/>
  <c r="BB162" i="6"/>
  <c r="AC162" i="6"/>
  <c r="AI162" i="6"/>
  <c r="AB162" i="6"/>
  <c r="AG162" i="6"/>
  <c r="AD162" i="6"/>
  <c r="AE162" i="6"/>
  <c r="AK161" i="6"/>
  <c r="AE161" i="6"/>
  <c r="AS161" i="6"/>
  <c r="AG161" i="6"/>
  <c r="AZ161" i="6"/>
  <c r="AJ161" i="6"/>
  <c r="AV161" i="6"/>
  <c r="AT161" i="6"/>
  <c r="BF161" i="6"/>
  <c r="AH161" i="6"/>
  <c r="AU161" i="6"/>
  <c r="AF161" i="6"/>
  <c r="BD161" i="6"/>
  <c r="AI161" i="6"/>
  <c r="AP161" i="6"/>
  <c r="AO161" i="6"/>
  <c r="AN161" i="6"/>
  <c r="AM161" i="6"/>
  <c r="AQ161" i="6"/>
  <c r="AC161" i="6"/>
  <c r="BE161" i="6"/>
  <c r="AR161" i="6"/>
  <c r="AY161" i="6"/>
  <c r="AB161" i="6"/>
  <c r="BC161" i="6"/>
  <c r="BA161" i="6"/>
  <c r="AX161" i="6"/>
  <c r="BB161" i="6"/>
  <c r="BG161" i="6"/>
  <c r="AD161" i="6"/>
  <c r="K39" i="12"/>
  <c r="B163" i="5" l="1"/>
  <c r="H163" i="5"/>
  <c r="E163" i="5"/>
  <c r="AD163" i="5"/>
  <c r="N163" i="5"/>
  <c r="D163" i="6" s="1"/>
  <c r="G163" i="5"/>
  <c r="B163" i="6"/>
  <c r="A163" i="6" s="1"/>
  <c r="A163" i="12"/>
  <c r="W163" i="5"/>
  <c r="H163" i="12" s="1"/>
  <c r="AE163" i="5"/>
  <c r="F163" i="5"/>
  <c r="I163" i="5"/>
  <c r="C164" i="5"/>
  <c r="I80" i="5"/>
  <c r="G164" i="5" l="1"/>
  <c r="AE164" i="5"/>
  <c r="J164" i="5"/>
  <c r="N164" i="5"/>
  <c r="D164" i="6" s="1"/>
  <c r="B164" i="6"/>
  <c r="AD164" i="5"/>
  <c r="D164" i="5"/>
  <c r="B164" i="12" s="1"/>
  <c r="B164" i="5"/>
  <c r="H164" i="5"/>
  <c r="F164" i="5"/>
  <c r="K67" i="5" s="1"/>
  <c r="D67" i="5" s="1"/>
  <c r="E164" i="5"/>
  <c r="K150" i="5" s="1"/>
  <c r="K164" i="5"/>
  <c r="A164" i="12"/>
  <c r="A5" i="5"/>
  <c r="AQ163" i="6"/>
  <c r="BC163" i="6"/>
  <c r="AO163" i="6"/>
  <c r="AP163" i="6"/>
  <c r="AZ163" i="6"/>
  <c r="BD163" i="6"/>
  <c r="BA163" i="6"/>
  <c r="BE163" i="6"/>
  <c r="N163" i="6"/>
  <c r="AR163" i="6"/>
  <c r="AN163" i="6"/>
  <c r="BG163" i="6"/>
  <c r="AY163" i="6"/>
  <c r="BF163" i="6"/>
  <c r="AT163" i="6"/>
  <c r="AS163" i="6"/>
  <c r="AU163" i="6"/>
  <c r="AV163" i="6"/>
  <c r="G163" i="6"/>
  <c r="AX163" i="6"/>
  <c r="AM163" i="6"/>
  <c r="M163" i="6"/>
  <c r="BB163" i="6"/>
  <c r="H163" i="6"/>
  <c r="T163" i="5" s="1"/>
  <c r="G163" i="12" s="1"/>
  <c r="K146" i="5"/>
  <c r="D146" i="5" s="1"/>
  <c r="B146" i="12" s="1"/>
  <c r="G28" i="6"/>
  <c r="J151" i="5" l="1"/>
  <c r="B67" i="12"/>
  <c r="E56" i="8"/>
  <c r="E57" i="8" s="1"/>
  <c r="I56" i="8" s="1"/>
  <c r="J80" i="5"/>
  <c r="D80" i="5" s="1"/>
  <c r="K142" i="5"/>
  <c r="D142" i="5" s="1"/>
  <c r="B142" i="12" s="1"/>
  <c r="K62" i="5"/>
  <c r="D62" i="5" s="1"/>
  <c r="B62" i="12" s="1"/>
  <c r="E71" i="8"/>
  <c r="E72" i="8" s="1"/>
  <c r="I71" i="8" s="1"/>
  <c r="J50" i="5"/>
  <c r="D50" i="5" s="1"/>
  <c r="B17" i="13" s="1"/>
  <c r="A12" i="13"/>
  <c r="AL12" i="13" s="1"/>
  <c r="E35" i="8"/>
  <c r="E36" i="8" s="1"/>
  <c r="I35" i="8" s="1"/>
  <c r="E89" i="8"/>
  <c r="E90" i="8" s="1"/>
  <c r="I89" i="8" s="1"/>
  <c r="E1" i="8"/>
  <c r="E2" i="8" s="1"/>
  <c r="L1" i="8" s="1"/>
  <c r="E104" i="8"/>
  <c r="E105" i="8" s="1"/>
  <c r="L104" i="8" s="1"/>
  <c r="E80" i="8"/>
  <c r="E81" i="8" s="1"/>
  <c r="L80" i="8" s="1"/>
  <c r="O80" i="8" s="1"/>
  <c r="E107" i="8"/>
  <c r="E108" i="8" s="1"/>
  <c r="I107" i="8" s="1"/>
  <c r="E38" i="8"/>
  <c r="E39" i="8" s="1"/>
  <c r="L38" i="8" s="1"/>
  <c r="J145" i="5"/>
  <c r="D145" i="5" s="1"/>
  <c r="B22" i="13" s="1"/>
  <c r="K156" i="5"/>
  <c r="J156" i="5"/>
  <c r="E17" i="8"/>
  <c r="E18" i="8" s="1"/>
  <c r="I17" i="8" s="1"/>
  <c r="E62" i="8"/>
  <c r="E63" i="8" s="1"/>
  <c r="L62" i="8" s="1"/>
  <c r="P62" i="8" s="1"/>
  <c r="E65" i="8"/>
  <c r="E66" i="8" s="1"/>
  <c r="I65" i="8" s="1"/>
  <c r="E50" i="8"/>
  <c r="E51" i="8" s="1"/>
  <c r="L50" i="8" s="1"/>
  <c r="O50" i="8" s="1"/>
  <c r="E68" i="8"/>
  <c r="E69" i="8" s="1"/>
  <c r="I68" i="8" s="1"/>
  <c r="E14" i="8"/>
  <c r="E15" i="8" s="1"/>
  <c r="I14" i="8" s="1"/>
  <c r="AC163" i="6"/>
  <c r="AG163" i="6"/>
  <c r="J16" i="5"/>
  <c r="D16" i="5" s="1"/>
  <c r="B14" i="13" s="1"/>
  <c r="E59" i="8"/>
  <c r="E60" i="8" s="1"/>
  <c r="E32" i="8"/>
  <c r="E33" i="8" s="1"/>
  <c r="E41" i="8"/>
  <c r="E42" i="8" s="1"/>
  <c r="E47" i="8"/>
  <c r="E48" i="8" s="1"/>
  <c r="AK163" i="6"/>
  <c r="AD163" i="6"/>
  <c r="J164" i="12"/>
  <c r="L164" i="12"/>
  <c r="A164" i="6"/>
  <c r="N164" i="6" s="1"/>
  <c r="E92" i="8"/>
  <c r="E93" i="8" s="1"/>
  <c r="E110" i="8"/>
  <c r="E111" i="8" s="1"/>
  <c r="E77" i="8"/>
  <c r="E78" i="8" s="1"/>
  <c r="AB163" i="6"/>
  <c r="AI163" i="6"/>
  <c r="AE163" i="6"/>
  <c r="H164" i="6"/>
  <c r="T164" i="5" s="1"/>
  <c r="G164" i="12" s="1"/>
  <c r="E83" i="8"/>
  <c r="E84" i="8" s="1"/>
  <c r="E101" i="8"/>
  <c r="E102" i="8" s="1"/>
  <c r="E95" i="8"/>
  <c r="E96" i="8" s="1"/>
  <c r="E86" i="8"/>
  <c r="E87" i="8" s="1"/>
  <c r="E20" i="8"/>
  <c r="E21" i="8" s="1"/>
  <c r="E98" i="8"/>
  <c r="E99" i="8" s="1"/>
  <c r="AJ163" i="6"/>
  <c r="AH163" i="6"/>
  <c r="AF163" i="6"/>
  <c r="J40" i="5"/>
  <c r="D40" i="5" s="1"/>
  <c r="J27" i="5"/>
  <c r="D27" i="5" s="1"/>
  <c r="K98" i="5"/>
  <c r="D98" i="5" s="1"/>
  <c r="B98" i="12" s="1"/>
  <c r="E44" i="8"/>
  <c r="E45" i="8" s="1"/>
  <c r="K151" i="5"/>
  <c r="D151" i="5" s="1"/>
  <c r="B151" i="12" s="1"/>
  <c r="J163" i="5"/>
  <c r="K163" i="5"/>
  <c r="E23" i="8"/>
  <c r="E24" i="8" s="1"/>
  <c r="E29" i="8"/>
  <c r="E30" i="8" s="1"/>
  <c r="E26" i="8"/>
  <c r="E27" i="8" s="1"/>
  <c r="E53" i="8"/>
  <c r="E54" i="8" s="1"/>
  <c r="E74" i="8"/>
  <c r="E75" i="8" s="1"/>
  <c r="L56" i="8" l="1"/>
  <c r="R58" i="8" s="1"/>
  <c r="B12" i="11"/>
  <c r="K12" i="11" s="1"/>
  <c r="J12" i="13" s="1"/>
  <c r="J116" i="5"/>
  <c r="D116" i="5" s="1"/>
  <c r="B116" i="12" s="1"/>
  <c r="J122" i="5"/>
  <c r="D122" i="5" s="1"/>
  <c r="B122" i="12" s="1"/>
  <c r="J150" i="5"/>
  <c r="D150" i="5" s="1"/>
  <c r="B150" i="12" s="1"/>
  <c r="J70" i="5"/>
  <c r="D70" i="5" s="1"/>
  <c r="B18" i="13" s="1"/>
  <c r="B19" i="13"/>
  <c r="B80" i="12"/>
  <c r="I80" i="8"/>
  <c r="L71" i="8"/>
  <c r="P71" i="8" s="1"/>
  <c r="L35" i="8"/>
  <c r="O35" i="8" s="1"/>
  <c r="L89" i="8"/>
  <c r="P89" i="8" s="1"/>
  <c r="H1" i="8"/>
  <c r="I38" i="8"/>
  <c r="I1" i="8"/>
  <c r="B50" i="12"/>
  <c r="O1" i="8"/>
  <c r="R1" i="8"/>
  <c r="F2" i="8" s="1"/>
  <c r="N1" i="8"/>
  <c r="M1" i="8"/>
  <c r="L14" i="8"/>
  <c r="P1" i="8"/>
  <c r="L107" i="8"/>
  <c r="P107" i="8" s="1"/>
  <c r="AO12" i="13"/>
  <c r="B145" i="12"/>
  <c r="B12" i="13"/>
  <c r="AJ12" i="13" s="1"/>
  <c r="I104" i="8"/>
  <c r="B16" i="12"/>
  <c r="L65" i="8"/>
  <c r="R67" i="8" s="1"/>
  <c r="I50" i="8"/>
  <c r="L17" i="8"/>
  <c r="O17" i="8" s="1"/>
  <c r="D156" i="5"/>
  <c r="B156" i="12" s="1"/>
  <c r="I62" i="8"/>
  <c r="L68" i="8"/>
  <c r="O68" i="8" s="1"/>
  <c r="D163" i="5"/>
  <c r="B163" i="12" s="1"/>
  <c r="M164" i="6"/>
  <c r="K164" i="12"/>
  <c r="P50" i="8"/>
  <c r="P104" i="8"/>
  <c r="O56" i="8"/>
  <c r="L74" i="8"/>
  <c r="P74" i="8" s="1"/>
  <c r="I74" i="8"/>
  <c r="L53" i="8"/>
  <c r="P53" i="8" s="1"/>
  <c r="I53" i="8"/>
  <c r="L29" i="8"/>
  <c r="I29" i="8"/>
  <c r="R52" i="8"/>
  <c r="P38" i="8"/>
  <c r="L44" i="8"/>
  <c r="O44" i="8" s="1"/>
  <c r="I44" i="8"/>
  <c r="B40" i="12"/>
  <c r="B16" i="13"/>
  <c r="L98" i="8"/>
  <c r="O98" i="8" s="1"/>
  <c r="I98" i="8"/>
  <c r="O104" i="8"/>
  <c r="I101" i="8"/>
  <c r="L101" i="8"/>
  <c r="R103" i="8" s="1"/>
  <c r="L26" i="8"/>
  <c r="I26" i="8"/>
  <c r="I23" i="8"/>
  <c r="L23" i="8"/>
  <c r="R25" i="8" s="1"/>
  <c r="I20" i="8"/>
  <c r="L20" i="8"/>
  <c r="P80" i="8"/>
  <c r="R82" i="8"/>
  <c r="I83" i="8"/>
  <c r="L83" i="8"/>
  <c r="O83" i="8" s="1"/>
  <c r="I77" i="8"/>
  <c r="L77" i="8"/>
  <c r="I47" i="8"/>
  <c r="L47" i="8"/>
  <c r="N47" i="8" s="1"/>
  <c r="L32" i="8"/>
  <c r="P32" i="8" s="1"/>
  <c r="I32" i="8"/>
  <c r="B15" i="13"/>
  <c r="B27" i="12"/>
  <c r="I86" i="8"/>
  <c r="L86" i="8"/>
  <c r="P86" i="8" s="1"/>
  <c r="O62" i="8"/>
  <c r="R64" i="8"/>
  <c r="L110" i="8"/>
  <c r="O110" i="8" s="1"/>
  <c r="I110" i="8"/>
  <c r="L41" i="8"/>
  <c r="M38" i="8" s="1"/>
  <c r="I41" i="8"/>
  <c r="I59" i="8"/>
  <c r="L59" i="8"/>
  <c r="P59" i="8" s="1"/>
  <c r="P56" i="8"/>
  <c r="O38" i="8"/>
  <c r="R40" i="8"/>
  <c r="L95" i="8"/>
  <c r="I95" i="8"/>
  <c r="R106" i="8"/>
  <c r="L92" i="8"/>
  <c r="I92" i="8"/>
  <c r="R3" i="8"/>
  <c r="Q1" i="8"/>
  <c r="O14" i="8" l="1"/>
  <c r="O12" i="11"/>
  <c r="C12" i="11" s="1"/>
  <c r="AB12" i="11"/>
  <c r="N12" i="11" s="1"/>
  <c r="G12" i="11"/>
  <c r="F12" i="13" s="1"/>
  <c r="C12" i="13"/>
  <c r="M12" i="13" s="1"/>
  <c r="B20" i="13"/>
  <c r="AA12" i="11"/>
  <c r="B70" i="12"/>
  <c r="B21" i="13"/>
  <c r="B23" i="13"/>
  <c r="A1" i="10"/>
  <c r="O89" i="8"/>
  <c r="R73" i="8"/>
  <c r="O71" i="8"/>
  <c r="P35" i="8"/>
  <c r="R109" i="8"/>
  <c r="N35" i="8"/>
  <c r="R37" i="8"/>
  <c r="R91" i="8"/>
  <c r="N14" i="8"/>
  <c r="N95" i="8"/>
  <c r="N56" i="8"/>
  <c r="N77" i="8"/>
  <c r="N71" i="8"/>
  <c r="P68" i="8"/>
  <c r="M62" i="8"/>
  <c r="P14" i="8"/>
  <c r="R16" i="8"/>
  <c r="C24" i="9"/>
  <c r="BE164" i="6"/>
  <c r="C28" i="10"/>
  <c r="G1" i="8"/>
  <c r="I2" i="8" s="1"/>
  <c r="AU164" i="6"/>
  <c r="F1" i="8"/>
  <c r="C18" i="10"/>
  <c r="AK164" i="6"/>
  <c r="AK15" i="6" s="1"/>
  <c r="Z15" i="6" s="1"/>
  <c r="O107" i="8"/>
  <c r="G2" i="8"/>
  <c r="AN12" i="13"/>
  <c r="AM12" i="13"/>
  <c r="A17" i="10"/>
  <c r="A34" i="10"/>
  <c r="AV164" i="6"/>
  <c r="A34" i="9"/>
  <c r="A20" i="10"/>
  <c r="N62" i="8"/>
  <c r="A28" i="9"/>
  <c r="N65" i="8"/>
  <c r="A35" i="9"/>
  <c r="AT164" i="6"/>
  <c r="C21" i="10"/>
  <c r="A23" i="10"/>
  <c r="AJ164" i="6"/>
  <c r="AJ15" i="6" s="1"/>
  <c r="Y15" i="6" s="1"/>
  <c r="O65" i="8"/>
  <c r="C30" i="9"/>
  <c r="A31" i="9"/>
  <c r="C36" i="9"/>
  <c r="C19" i="10"/>
  <c r="AN164" i="6"/>
  <c r="A29" i="10"/>
  <c r="AD164" i="6"/>
  <c r="AD15" i="6" s="1"/>
  <c r="S15" i="6" s="1"/>
  <c r="R19" i="8"/>
  <c r="C28" i="9"/>
  <c r="N17" i="8"/>
  <c r="P65" i="8"/>
  <c r="P17" i="8"/>
  <c r="R70" i="8"/>
  <c r="AK12" i="13"/>
  <c r="N26" i="8"/>
  <c r="N68" i="8"/>
  <c r="BC164" i="6"/>
  <c r="C20" i="10"/>
  <c r="AO164" i="6"/>
  <c r="A26" i="9"/>
  <c r="AF164" i="6"/>
  <c r="C22" i="10"/>
  <c r="C33" i="10"/>
  <c r="AP164" i="6"/>
  <c r="A16" i="10"/>
  <c r="AM164" i="6"/>
  <c r="AQ164" i="6"/>
  <c r="C33" i="9"/>
  <c r="BB164" i="6"/>
  <c r="BD164" i="6"/>
  <c r="AX164" i="6"/>
  <c r="C27" i="10"/>
  <c r="C23" i="10"/>
  <c r="AG164" i="6"/>
  <c r="AG15" i="6" s="1"/>
  <c r="V15" i="6" s="1"/>
  <c r="AB164" i="6"/>
  <c r="AB15" i="6" s="1"/>
  <c r="Q15" i="6" s="1"/>
  <c r="C37" i="10"/>
  <c r="C16" i="9"/>
  <c r="BA164" i="6"/>
  <c r="AZ164" i="6"/>
  <c r="C21" i="9"/>
  <c r="AI164" i="6"/>
  <c r="AI15" i="6" s="1"/>
  <c r="X15" i="6" s="1"/>
  <c r="AY164" i="6"/>
  <c r="A18" i="9"/>
  <c r="BG164" i="6"/>
  <c r="AC164" i="6"/>
  <c r="C25" i="9"/>
  <c r="D15" i="5"/>
  <c r="A28" i="10"/>
  <c r="A24" i="9"/>
  <c r="M14" i="8"/>
  <c r="Q14" i="8" s="1"/>
  <c r="B14" i="8" s="1"/>
  <c r="C29" i="9"/>
  <c r="AE164" i="6"/>
  <c r="AE15" i="6" s="1"/>
  <c r="T15" i="6" s="1"/>
  <c r="A16" i="9"/>
  <c r="M92" i="8"/>
  <c r="O23" i="8"/>
  <c r="A22" i="10"/>
  <c r="AR164" i="6"/>
  <c r="A21" i="10"/>
  <c r="C18" i="9"/>
  <c r="C31" i="9"/>
  <c r="P92" i="8"/>
  <c r="AH164" i="6"/>
  <c r="AH15" i="6" s="1"/>
  <c r="W15" i="6" s="1"/>
  <c r="BF164" i="6"/>
  <c r="A31" i="10"/>
  <c r="C27" i="9"/>
  <c r="M95" i="8"/>
  <c r="C17" i="10"/>
  <c r="C34" i="9"/>
  <c r="AS164" i="6"/>
  <c r="C19" i="9"/>
  <c r="N92" i="8"/>
  <c r="P101" i="8"/>
  <c r="P98" i="8"/>
  <c r="A35" i="10"/>
  <c r="A25" i="10"/>
  <c r="A30" i="9"/>
  <c r="A21" i="9"/>
  <c r="A36" i="10"/>
  <c r="C34" i="10"/>
  <c r="C1" i="10"/>
  <c r="C32" i="10"/>
  <c r="A24" i="10"/>
  <c r="A22" i="9"/>
  <c r="C36" i="10"/>
  <c r="A37" i="9"/>
  <c r="A26" i="10"/>
  <c r="C25" i="10"/>
  <c r="A37" i="10"/>
  <c r="A1" i="9"/>
  <c r="C37" i="9"/>
  <c r="C35" i="10"/>
  <c r="C29" i="10"/>
  <c r="A20" i="9"/>
  <c r="A23" i="9"/>
  <c r="A36" i="9"/>
  <c r="A17" i="9"/>
  <c r="A29" i="9"/>
  <c r="C24" i="10"/>
  <c r="A33" i="9"/>
  <c r="C20" i="9"/>
  <c r="A25" i="9"/>
  <c r="C26" i="10"/>
  <c r="A27" i="10"/>
  <c r="C17" i="9"/>
  <c r="A30" i="10"/>
  <c r="A18" i="10"/>
  <c r="A19" i="9"/>
  <c r="A32" i="9"/>
  <c r="C26" i="9"/>
  <c r="C30" i="10"/>
  <c r="C1" i="9"/>
  <c r="C23" i="9"/>
  <c r="C35" i="9"/>
  <c r="C22" i="9"/>
  <c r="A27" i="9"/>
  <c r="C32" i="9"/>
  <c r="A33" i="10"/>
  <c r="C31" i="10"/>
  <c r="A19" i="10"/>
  <c r="C16" i="10"/>
  <c r="A32" i="10"/>
  <c r="N20" i="8"/>
  <c r="P44" i="8"/>
  <c r="O74" i="8"/>
  <c r="M20" i="8"/>
  <c r="M53" i="8"/>
  <c r="P77" i="8"/>
  <c r="P20" i="8"/>
  <c r="O101" i="8"/>
  <c r="M47" i="8"/>
  <c r="Q47" i="8" s="1"/>
  <c r="E49" i="8" s="1"/>
  <c r="M98" i="8"/>
  <c r="N59" i="8"/>
  <c r="O41" i="8"/>
  <c r="N83" i="8"/>
  <c r="P23" i="8"/>
  <c r="N101" i="8"/>
  <c r="N23" i="8"/>
  <c r="P95" i="8"/>
  <c r="R97" i="8"/>
  <c r="O59" i="8"/>
  <c r="R61" i="8"/>
  <c r="M56" i="8"/>
  <c r="P41" i="8"/>
  <c r="P110" i="8"/>
  <c r="R112" i="8"/>
  <c r="N104" i="8"/>
  <c r="O86" i="8"/>
  <c r="N32" i="8"/>
  <c r="R34" i="8"/>
  <c r="O47" i="8"/>
  <c r="R49" i="8"/>
  <c r="M77" i="8"/>
  <c r="AF15" i="6"/>
  <c r="U15" i="6" s="1"/>
  <c r="R100" i="8"/>
  <c r="N44" i="8"/>
  <c r="R46" i="8"/>
  <c r="M74" i="8"/>
  <c r="R76" i="8"/>
  <c r="M71" i="8"/>
  <c r="M65" i="8"/>
  <c r="M68" i="8"/>
  <c r="N41" i="8"/>
  <c r="P26" i="8"/>
  <c r="R28" i="8"/>
  <c r="M44" i="8"/>
  <c r="N29" i="8"/>
  <c r="P29" i="8"/>
  <c r="R31" i="8"/>
  <c r="M83" i="8"/>
  <c r="R88" i="8"/>
  <c r="D1" i="8"/>
  <c r="B1" i="8"/>
  <c r="AE3" i="8"/>
  <c r="V1" i="8"/>
  <c r="T3" i="8"/>
  <c r="E3" i="8"/>
  <c r="Y3" i="8"/>
  <c r="U3" i="8"/>
  <c r="Z3" i="8"/>
  <c r="X3" i="8"/>
  <c r="AD1" i="8"/>
  <c r="AA3" i="8"/>
  <c r="AC1" i="8"/>
  <c r="T1" i="8"/>
  <c r="Z1" i="8"/>
  <c r="V3" i="8"/>
  <c r="U1" i="8"/>
  <c r="C1" i="8"/>
  <c r="AA1" i="8"/>
  <c r="X1" i="8"/>
  <c r="AB3" i="8"/>
  <c r="W1" i="8"/>
  <c r="W3" i="8"/>
  <c r="AD3" i="8"/>
  <c r="AC3" i="8"/>
  <c r="D3" i="8"/>
  <c r="AE1" i="8"/>
  <c r="Y1" i="8"/>
  <c r="AB1" i="8"/>
  <c r="O92" i="8"/>
  <c r="R94" i="8"/>
  <c r="M89" i="8"/>
  <c r="N89" i="8"/>
  <c r="O95" i="8"/>
  <c r="M59" i="8"/>
  <c r="M41" i="8"/>
  <c r="Q41" i="8" s="1"/>
  <c r="E43" i="8" s="1"/>
  <c r="M86" i="8"/>
  <c r="M35" i="8"/>
  <c r="Q35" i="8" s="1"/>
  <c r="E37" i="8" s="1"/>
  <c r="O32" i="8"/>
  <c r="P47" i="8"/>
  <c r="O20" i="8"/>
  <c r="R22" i="8"/>
  <c r="M17" i="8"/>
  <c r="M23" i="8"/>
  <c r="Q23" i="8" s="1"/>
  <c r="O26" i="8"/>
  <c r="M32" i="8"/>
  <c r="Q32" i="8" s="1"/>
  <c r="M29" i="8"/>
  <c r="O53" i="8"/>
  <c r="R55" i="8"/>
  <c r="N50" i="8"/>
  <c r="M50" i="8"/>
  <c r="R43" i="8"/>
  <c r="N38" i="8"/>
  <c r="Q38" i="8" s="1"/>
  <c r="Q62" i="8"/>
  <c r="E64" i="8" s="1"/>
  <c r="N86" i="8"/>
  <c r="O77" i="8"/>
  <c r="R79" i="8"/>
  <c r="P83" i="8"/>
  <c r="R85" i="8"/>
  <c r="N80" i="8"/>
  <c r="M80" i="8"/>
  <c r="M26" i="8"/>
  <c r="N98" i="8"/>
  <c r="O29" i="8"/>
  <c r="N53" i="8"/>
  <c r="N74" i="8"/>
  <c r="I122" i="5"/>
  <c r="N107" i="8" l="1"/>
  <c r="L12" i="13"/>
  <c r="V12" i="13" s="1"/>
  <c r="Z12" i="11"/>
  <c r="O12" i="13"/>
  <c r="N12" i="13" s="1"/>
  <c r="W12" i="11"/>
  <c r="U12" i="13"/>
  <c r="S12" i="13"/>
  <c r="K12" i="13"/>
  <c r="T12" i="13"/>
  <c r="R12" i="13"/>
  <c r="AC15" i="6"/>
  <c r="R15" i="6" s="1"/>
  <c r="Q56" i="8"/>
  <c r="E58" i="8" s="1"/>
  <c r="Q71" i="8"/>
  <c r="T71" i="8" s="1"/>
  <c r="Q95" i="8"/>
  <c r="E97" i="8" s="1"/>
  <c r="Q68" i="8"/>
  <c r="E70" i="8" s="1"/>
  <c r="Q65" i="8"/>
  <c r="E67" i="8" s="1"/>
  <c r="Q77" i="8"/>
  <c r="E79" i="8" s="1"/>
  <c r="Q83" i="8"/>
  <c r="E85" i="8" s="1"/>
  <c r="Q26" i="8"/>
  <c r="E28" i="8" s="1"/>
  <c r="Q17" i="8"/>
  <c r="Z17" i="8" s="1"/>
  <c r="C14" i="8"/>
  <c r="Q92" i="8"/>
  <c r="E94" i="8" s="1"/>
  <c r="E16" i="8"/>
  <c r="Q29" i="8"/>
  <c r="AD29" i="8" s="1"/>
  <c r="Q20" i="8"/>
  <c r="U20" i="8" s="1"/>
  <c r="Q74" i="8"/>
  <c r="E76" i="8" s="1"/>
  <c r="Q59" i="8"/>
  <c r="E61" i="8" s="1"/>
  <c r="Q53" i="8"/>
  <c r="E55" i="8" s="1"/>
  <c r="Q98" i="8"/>
  <c r="E100" i="8" s="1"/>
  <c r="Q44" i="8"/>
  <c r="E46" i="8" s="1"/>
  <c r="Q50" i="8"/>
  <c r="E52" i="8" s="1"/>
  <c r="Q86" i="8"/>
  <c r="W86" i="8" s="1"/>
  <c r="Q89" i="8"/>
  <c r="W89" i="8" s="1"/>
  <c r="V38" i="8"/>
  <c r="U38" i="8"/>
  <c r="AE38" i="8"/>
  <c r="D38" i="8"/>
  <c r="AA38" i="8"/>
  <c r="E40" i="8"/>
  <c r="T38" i="8"/>
  <c r="Y38" i="8"/>
  <c r="X38" i="8"/>
  <c r="AB38" i="8"/>
  <c r="Z38" i="8"/>
  <c r="W38" i="8"/>
  <c r="AC38" i="8"/>
  <c r="AD38" i="8"/>
  <c r="Q80" i="8"/>
  <c r="E82" i="8" s="1"/>
  <c r="E25" i="8"/>
  <c r="C23" i="8"/>
  <c r="B23" i="8"/>
  <c r="E34" i="8"/>
  <c r="C32" i="8"/>
  <c r="C41" i="8"/>
  <c r="M110" i="8" l="1"/>
  <c r="N110" i="8"/>
  <c r="M104" i="8"/>
  <c r="Q104" i="8" s="1"/>
  <c r="E106" i="8" s="1"/>
  <c r="M101" i="8"/>
  <c r="Q101" i="8" s="1"/>
  <c r="E103" i="8" s="1"/>
  <c r="M107" i="8"/>
  <c r="Q107" i="8" s="1"/>
  <c r="E109" i="8" s="1"/>
  <c r="D12" i="13"/>
  <c r="P12" i="13"/>
  <c r="D71" i="8"/>
  <c r="AC26" i="8"/>
  <c r="E73" i="8"/>
  <c r="Z26" i="8"/>
  <c r="X26" i="8"/>
  <c r="AE26" i="8"/>
  <c r="U26" i="8"/>
  <c r="T26" i="8"/>
  <c r="AB26" i="8"/>
  <c r="W26" i="8"/>
  <c r="AD26" i="8"/>
  <c r="D26" i="8"/>
  <c r="V26" i="8"/>
  <c r="AA17" i="8"/>
  <c r="AB17" i="8"/>
  <c r="V17" i="8"/>
  <c r="T17" i="8"/>
  <c r="E19" i="8"/>
  <c r="U17" i="8"/>
  <c r="AC17" i="8"/>
  <c r="AE17" i="8"/>
  <c r="Y17" i="8"/>
  <c r="W17" i="8"/>
  <c r="X17" i="8"/>
  <c r="AD17" i="8"/>
  <c r="D17" i="8"/>
  <c r="AB86" i="8"/>
  <c r="W29" i="8"/>
  <c r="Z29" i="8"/>
  <c r="X29" i="8"/>
  <c r="AC29" i="8"/>
  <c r="D29" i="8"/>
  <c r="T29" i="8"/>
  <c r="V29" i="8"/>
  <c r="E31" i="8"/>
  <c r="AA29" i="8"/>
  <c r="AE29" i="8"/>
  <c r="D86" i="8"/>
  <c r="D20" i="8"/>
  <c r="V20" i="8"/>
  <c r="AD20" i="8"/>
  <c r="W20" i="8"/>
  <c r="Z20" i="8"/>
  <c r="AC20" i="8"/>
  <c r="E22" i="8"/>
  <c r="AB20" i="8"/>
  <c r="AA20" i="8"/>
  <c r="AE20" i="8"/>
  <c r="T20" i="8"/>
  <c r="X20" i="8"/>
  <c r="Y20" i="8"/>
  <c r="U29" i="8"/>
  <c r="Y29" i="8"/>
  <c r="AB29" i="8"/>
  <c r="AD86" i="8"/>
  <c r="AA86" i="8"/>
  <c r="X86" i="8"/>
  <c r="Z86" i="8"/>
  <c r="AE86" i="8"/>
  <c r="T86" i="8"/>
  <c r="X89" i="8"/>
  <c r="AC86" i="8"/>
  <c r="Y86" i="8"/>
  <c r="V86" i="8"/>
  <c r="U86" i="8"/>
  <c r="E88" i="8"/>
  <c r="V89" i="8"/>
  <c r="T89" i="8"/>
  <c r="AD89" i="8"/>
  <c r="E91" i="8"/>
  <c r="Y89" i="8"/>
  <c r="U89" i="8"/>
  <c r="AC89" i="8"/>
  <c r="AA89" i="8"/>
  <c r="Z89" i="8"/>
  <c r="AE89" i="8"/>
  <c r="D89" i="8"/>
  <c r="AB89" i="8"/>
  <c r="Y71" i="8"/>
  <c r="Z71" i="8"/>
  <c r="V71" i="8"/>
  <c r="AE71" i="8"/>
  <c r="AD71" i="8"/>
  <c r="Q110" i="8" l="1"/>
  <c r="E112" i="8" s="1"/>
  <c r="Z68" i="8"/>
  <c r="AD68" i="8"/>
  <c r="U68" i="8"/>
  <c r="I77" i="5"/>
  <c r="T44" i="8" l="1"/>
  <c r="W35" i="8"/>
  <c r="T59" i="8"/>
  <c r="Y35" i="8"/>
  <c r="U35" i="8"/>
  <c r="Z35" i="8"/>
  <c r="AB44" i="8"/>
  <c r="D44" i="8"/>
  <c r="AC35" i="8"/>
  <c r="V35" i="8"/>
  <c r="AE35" i="8"/>
  <c r="X35" i="8"/>
  <c r="AB59" i="8"/>
  <c r="AD35" i="8"/>
  <c r="AA35" i="8"/>
  <c r="AD44" i="8"/>
  <c r="D59" i="8"/>
  <c r="AB35" i="8"/>
  <c r="D35" i="8"/>
  <c r="U44" i="8" l="1"/>
  <c r="V44" i="8"/>
  <c r="AE44" i="8"/>
  <c r="W44" i="8"/>
  <c r="Y44" i="8"/>
  <c r="X44" i="8"/>
  <c r="AA44" i="8"/>
  <c r="AC44" i="8"/>
  <c r="Z44" i="8"/>
  <c r="B32" i="8"/>
  <c r="T35" i="8" l="1"/>
  <c r="B41" i="8" l="1"/>
  <c r="I116" i="5" l="1"/>
  <c r="E137" i="12" l="1"/>
  <c r="F137" i="6"/>
  <c r="AF41" i="5"/>
  <c r="AF70" i="5"/>
  <c r="AF80" i="5"/>
  <c r="AF98" i="5"/>
  <c r="AF84" i="5"/>
  <c r="AF122" i="5"/>
  <c r="AF50" i="5"/>
  <c r="AF150" i="5"/>
  <c r="AF81" i="5"/>
  <c r="AF156" i="5"/>
  <c r="AF146" i="5"/>
  <c r="AF163" i="5"/>
  <c r="AF46" i="5"/>
  <c r="AF28" i="5"/>
  <c r="AF58" i="5"/>
  <c r="AF40" i="5"/>
  <c r="AF62" i="5"/>
  <c r="AF71" i="5"/>
  <c r="AF77" i="5"/>
  <c r="AF33" i="5"/>
  <c r="AF51" i="5"/>
  <c r="AF127" i="5"/>
  <c r="AF117" i="5"/>
  <c r="AF151" i="5"/>
  <c r="AF145" i="5"/>
  <c r="AF27" i="5"/>
  <c r="AF116" i="5"/>
  <c r="AF142" i="5"/>
  <c r="AF123" i="5"/>
  <c r="S142" i="5" l="1"/>
  <c r="AG142" i="5"/>
  <c r="U142" i="5" s="1"/>
  <c r="AN142" i="5" s="1"/>
  <c r="AG51" i="5"/>
  <c r="U51" i="5" s="1"/>
  <c r="AN51" i="5" s="1"/>
  <c r="S51" i="5"/>
  <c r="S81" i="5"/>
  <c r="F81" i="12" s="1"/>
  <c r="AG81" i="5"/>
  <c r="U81" i="5" s="1"/>
  <c r="AN81" i="5" s="1"/>
  <c r="S50" i="5"/>
  <c r="F50" i="12" s="1"/>
  <c r="AG50" i="5"/>
  <c r="S116" i="5"/>
  <c r="F116" i="12" s="1"/>
  <c r="AG116" i="5"/>
  <c r="AG33" i="5"/>
  <c r="U33" i="5" s="1"/>
  <c r="AN33" i="5" s="1"/>
  <c r="S33" i="5"/>
  <c r="AG123" i="5"/>
  <c r="U123" i="5" s="1"/>
  <c r="AN123" i="5" s="1"/>
  <c r="S123" i="5"/>
  <c r="S122" i="5"/>
  <c r="AG122" i="5"/>
  <c r="AG27" i="5"/>
  <c r="U27" i="5" s="1"/>
  <c r="AN27" i="5" s="1"/>
  <c r="S27" i="5"/>
  <c r="AG77" i="5"/>
  <c r="U77" i="5" s="1"/>
  <c r="AN77" i="5" s="1"/>
  <c r="S77" i="5"/>
  <c r="S46" i="5"/>
  <c r="AG46" i="5"/>
  <c r="U46" i="5" s="1"/>
  <c r="AN46" i="5" s="1"/>
  <c r="AG84" i="5"/>
  <c r="U84" i="5" s="1"/>
  <c r="AN84" i="5" s="1"/>
  <c r="S84" i="5"/>
  <c r="AG71" i="5"/>
  <c r="U71" i="5" s="1"/>
  <c r="AN71" i="5" s="1"/>
  <c r="S71" i="5"/>
  <c r="F71" i="12" s="1"/>
  <c r="AG150" i="5"/>
  <c r="S150" i="5"/>
  <c r="F150" i="12" s="1"/>
  <c r="S98" i="5"/>
  <c r="F98" i="12" s="1"/>
  <c r="AG98" i="5"/>
  <c r="U98" i="5" s="1"/>
  <c r="AN98" i="5" s="1"/>
  <c r="S145" i="5"/>
  <c r="AG145" i="5"/>
  <c r="S62" i="5"/>
  <c r="AG62" i="5"/>
  <c r="S163" i="5"/>
  <c r="AG163" i="5"/>
  <c r="U163" i="5" s="1"/>
  <c r="AN163" i="5" s="1"/>
  <c r="S80" i="5"/>
  <c r="F80" i="12" s="1"/>
  <c r="AG80" i="5"/>
  <c r="AG151" i="5"/>
  <c r="U151" i="5" s="1"/>
  <c r="AN151" i="5" s="1"/>
  <c r="S151" i="5"/>
  <c r="F151" i="12" s="1"/>
  <c r="AG40" i="5"/>
  <c r="AN40" i="5" s="1"/>
  <c r="S40" i="5"/>
  <c r="AG146" i="5"/>
  <c r="U146" i="5" s="1"/>
  <c r="AN146" i="5" s="1"/>
  <c r="S146" i="5"/>
  <c r="S70" i="5"/>
  <c r="F70" i="12" s="1"/>
  <c r="AG70" i="5"/>
  <c r="U70" i="5" s="1"/>
  <c r="AN70" i="5" s="1"/>
  <c r="S117" i="5"/>
  <c r="F117" i="12" s="1"/>
  <c r="AG117" i="5"/>
  <c r="U117" i="5" s="1"/>
  <c r="AN117" i="5" s="1"/>
  <c r="AG58" i="5"/>
  <c r="S58" i="5"/>
  <c r="F58" i="12" s="1"/>
  <c r="S156" i="5"/>
  <c r="AG156" i="5"/>
  <c r="AG41" i="5"/>
  <c r="AN41" i="5" s="1"/>
  <c r="S41" i="5"/>
  <c r="S127" i="5"/>
  <c r="AG127" i="5"/>
  <c r="U127" i="5" s="1"/>
  <c r="AN127" i="5" s="1"/>
  <c r="S28" i="5"/>
  <c r="AG28" i="5"/>
  <c r="F41" i="12" l="1"/>
  <c r="F40" i="12"/>
  <c r="F84" i="12"/>
  <c r="F77" i="12"/>
  <c r="F33" i="12"/>
  <c r="F51" i="12"/>
  <c r="F28" i="12"/>
  <c r="F62" i="12"/>
  <c r="F122" i="12"/>
  <c r="F146" i="12"/>
  <c r="F27" i="12"/>
  <c r="F123" i="12"/>
  <c r="F127" i="12"/>
  <c r="F156" i="12"/>
  <c r="F163" i="12"/>
  <c r="F145" i="12"/>
  <c r="F46" i="12"/>
  <c r="F142" i="12"/>
  <c r="I156" i="5" l="1"/>
  <c r="C77" i="8" l="1"/>
  <c r="C101" i="8"/>
  <c r="C56" i="8"/>
  <c r="C65" i="8"/>
  <c r="AC98" i="8" l="1"/>
  <c r="V98" i="8"/>
  <c r="AE98" i="8"/>
  <c r="W98" i="8"/>
  <c r="D98" i="8"/>
  <c r="AA62" i="8"/>
  <c r="AD98" i="8"/>
  <c r="Y98" i="8"/>
  <c r="X98" i="8"/>
  <c r="U98" i="8"/>
  <c r="W62" i="8"/>
  <c r="Z98" i="8"/>
  <c r="AA98" i="8"/>
  <c r="T92" i="8" l="1"/>
  <c r="AB92" i="8"/>
  <c r="U62" i="8" l="1"/>
  <c r="AA92" i="8"/>
  <c r="AA53" i="8"/>
  <c r="AD62" i="8"/>
  <c r="D53" i="8"/>
  <c r="Z62" i="8"/>
  <c r="AE62" i="8"/>
  <c r="AE53" i="8"/>
  <c r="Z53" i="8"/>
  <c r="Y62" i="8"/>
  <c r="D62" i="8"/>
  <c r="U53" i="8"/>
  <c r="T80" i="8"/>
  <c r="X62" i="8"/>
  <c r="W53" i="8"/>
  <c r="AC53" i="8"/>
  <c r="V62" i="8"/>
  <c r="V53" i="8"/>
  <c r="T62" i="8"/>
  <c r="AD53" i="8"/>
  <c r="AB62" i="8"/>
  <c r="X53" i="8"/>
  <c r="AC62" i="8"/>
  <c r="AB53" i="8"/>
  <c r="V92" i="8"/>
  <c r="X92" i="8"/>
  <c r="U92" i="8"/>
  <c r="W92" i="8"/>
  <c r="AE92" i="8"/>
  <c r="Y92" i="8"/>
  <c r="AC92" i="8"/>
  <c r="D92" i="8"/>
  <c r="Z92" i="8"/>
  <c r="AD92" i="8"/>
  <c r="D80" i="8" l="1"/>
  <c r="AB80" i="8"/>
  <c r="B95" i="8"/>
  <c r="B77" i="8"/>
  <c r="V80" i="8" l="1"/>
  <c r="AE80" i="8"/>
  <c r="AD80" i="8"/>
  <c r="W80" i="8"/>
  <c r="Z80" i="8"/>
  <c r="U80" i="8"/>
  <c r="AC80" i="8"/>
  <c r="X80" i="8"/>
  <c r="Y80" i="8"/>
  <c r="AF19" i="5" l="1"/>
  <c r="AF89" i="5"/>
  <c r="AF115" i="5"/>
  <c r="AF121" i="5"/>
  <c r="AF141" i="5"/>
  <c r="AF31" i="5"/>
  <c r="AF53" i="5"/>
  <c r="AF45" i="5"/>
  <c r="AF158" i="5"/>
  <c r="AF85" i="5"/>
  <c r="AF72" i="5"/>
  <c r="AF147" i="5"/>
  <c r="AF76" i="5"/>
  <c r="AF108" i="5"/>
  <c r="AF61" i="5"/>
  <c r="AF111" i="5"/>
  <c r="AF143" i="5"/>
  <c r="AF55" i="5"/>
  <c r="AF130" i="5"/>
  <c r="AF54" i="5"/>
  <c r="AF100" i="5"/>
  <c r="AF114" i="5"/>
  <c r="AF83" i="5"/>
  <c r="AF57" i="5"/>
  <c r="AF60" i="5"/>
  <c r="AF75" i="5"/>
  <c r="AF128" i="5"/>
  <c r="AF36" i="5"/>
  <c r="AF65" i="5"/>
  <c r="AF159" i="5"/>
  <c r="AF125" i="5"/>
  <c r="AF149" i="5"/>
  <c r="AF90" i="5"/>
  <c r="AF95" i="5"/>
  <c r="AF106" i="5"/>
  <c r="AF107" i="5"/>
  <c r="AF66" i="5"/>
  <c r="AF64" i="5"/>
  <c r="AF135" i="5"/>
  <c r="AF154" i="5"/>
  <c r="AF113" i="5"/>
  <c r="AF82" i="5"/>
  <c r="AF148" i="5"/>
  <c r="AF131" i="5"/>
  <c r="AF157" i="5"/>
  <c r="AF44" i="5"/>
  <c r="AF124" i="5"/>
  <c r="AF34" i="5"/>
  <c r="AF112" i="5"/>
  <c r="AF48" i="5"/>
  <c r="AF139" i="5"/>
  <c r="AF160" i="5"/>
  <c r="AF126" i="5"/>
  <c r="AF87" i="5"/>
  <c r="AF97" i="5"/>
  <c r="AF91" i="5"/>
  <c r="AF103" i="5"/>
  <c r="AF30" i="5"/>
  <c r="AF110" i="5"/>
  <c r="AF35" i="5"/>
  <c r="AF144" i="5"/>
  <c r="AF59" i="5"/>
  <c r="AF132" i="5"/>
  <c r="AF79" i="5"/>
  <c r="AF88" i="5"/>
  <c r="AF153" i="5"/>
  <c r="AF136" i="5"/>
  <c r="AF92" i="5"/>
  <c r="AF133" i="5"/>
  <c r="AF140" i="5"/>
  <c r="AF43" i="5"/>
  <c r="AF119" i="5"/>
  <c r="AF101" i="5"/>
  <c r="AF47" i="5"/>
  <c r="AF162" i="5"/>
  <c r="AF93" i="5"/>
  <c r="AF86" i="5"/>
  <c r="AF99" i="5"/>
  <c r="AF109" i="5"/>
  <c r="AF39" i="5"/>
  <c r="AF29" i="5"/>
  <c r="AF68" i="5"/>
  <c r="AF164" i="5"/>
  <c r="AF42" i="5"/>
  <c r="AF52" i="5"/>
  <c r="AF161" i="5"/>
  <c r="AF105" i="5"/>
  <c r="AF138" i="5"/>
  <c r="AF74" i="5"/>
  <c r="AF102" i="5"/>
  <c r="AF37" i="5"/>
  <c r="AF96" i="5"/>
  <c r="AF104" i="5"/>
  <c r="AF63" i="5"/>
  <c r="AF26" i="5"/>
  <c r="AF155" i="5"/>
  <c r="AF134" i="5"/>
  <c r="AF129" i="5"/>
  <c r="AF137" i="5"/>
  <c r="AF152" i="5"/>
  <c r="AF120" i="5"/>
  <c r="AF56" i="5"/>
  <c r="AF78" i="5"/>
  <c r="AF38" i="5"/>
  <c r="AF49" i="5"/>
  <c r="AF118" i="5"/>
  <c r="AF73" i="5"/>
  <c r="AF94" i="5"/>
  <c r="AF32" i="5"/>
  <c r="AF69" i="5"/>
  <c r="AF24" i="5"/>
  <c r="AF18" i="5"/>
  <c r="AF14" i="5"/>
  <c r="AF20" i="5"/>
  <c r="AF25" i="5"/>
  <c r="AF17" i="5"/>
  <c r="AF21" i="5"/>
  <c r="AF22" i="5"/>
  <c r="AF23" i="5"/>
  <c r="AF16" i="5"/>
  <c r="S16" i="5" l="1"/>
  <c r="AG16" i="5"/>
  <c r="AG23" i="5"/>
  <c r="U23" i="5" s="1"/>
  <c r="AN23" i="5" s="1"/>
  <c r="S23" i="5"/>
  <c r="AG17" i="5"/>
  <c r="S17" i="5"/>
  <c r="S14" i="5"/>
  <c r="R14" i="5"/>
  <c r="AG14" i="5"/>
  <c r="S22" i="5"/>
  <c r="R21" i="5"/>
  <c r="R25" i="5"/>
  <c r="R20" i="5"/>
  <c r="R24" i="5"/>
  <c r="S69" i="5"/>
  <c r="R32" i="5"/>
  <c r="S73" i="5"/>
  <c r="R118" i="5"/>
  <c r="AG38" i="5"/>
  <c r="R78" i="5"/>
  <c r="AG56" i="5"/>
  <c r="S152" i="5"/>
  <c r="S137" i="5"/>
  <c r="R134" i="5"/>
  <c r="AG155" i="5"/>
  <c r="S26" i="5"/>
  <c r="S104" i="5"/>
  <c r="R96" i="5"/>
  <c r="R37" i="5"/>
  <c r="AG74" i="5"/>
  <c r="S138" i="5"/>
  <c r="AG105" i="5"/>
  <c r="AG52" i="5"/>
  <c r="AG42" i="5"/>
  <c r="R164" i="5"/>
  <c r="S29" i="5"/>
  <c r="R39" i="5"/>
  <c r="R109" i="5"/>
  <c r="R86" i="5"/>
  <c r="S93" i="5"/>
  <c r="AG162" i="5"/>
  <c r="S101" i="5"/>
  <c r="S119" i="5"/>
  <c r="AG43" i="5"/>
  <c r="AG133" i="5"/>
  <c r="R92" i="5"/>
  <c r="AG136" i="5"/>
  <c r="R88" i="5"/>
  <c r="S79" i="5"/>
  <c r="AG132" i="5"/>
  <c r="AG144" i="5"/>
  <c r="AG35" i="5"/>
  <c r="R110" i="5"/>
  <c r="AG103" i="5"/>
  <c r="AG91" i="5"/>
  <c r="S97" i="5"/>
  <c r="S126" i="5"/>
  <c r="AG160" i="5"/>
  <c r="R139" i="5"/>
  <c r="AG112" i="5"/>
  <c r="AG34" i="5"/>
  <c r="R124" i="5"/>
  <c r="R157" i="5"/>
  <c r="R131" i="5"/>
  <c r="AG148" i="5"/>
  <c r="R113" i="5"/>
  <c r="S154" i="5"/>
  <c r="S135" i="5"/>
  <c r="AG66" i="5"/>
  <c r="S107" i="5"/>
  <c r="R95" i="5"/>
  <c r="S90" i="5"/>
  <c r="S149" i="5"/>
  <c r="AG159" i="5"/>
  <c r="S65" i="5"/>
  <c r="S36" i="5"/>
  <c r="AG75" i="5"/>
  <c r="S60" i="5"/>
  <c r="AG57" i="5"/>
  <c r="S114" i="5"/>
  <c r="S100" i="5"/>
  <c r="AG54" i="5"/>
  <c r="AG55" i="5"/>
  <c r="AG143" i="5"/>
  <c r="S111" i="5"/>
  <c r="R108" i="5"/>
  <c r="R76" i="5"/>
  <c r="S147" i="5"/>
  <c r="R85" i="5"/>
  <c r="AG158" i="5"/>
  <c r="S45" i="5"/>
  <c r="R31" i="5"/>
  <c r="S141" i="5"/>
  <c r="AG121" i="5"/>
  <c r="S89" i="5"/>
  <c r="S19" i="5"/>
  <c r="R22" i="5"/>
  <c r="S21" i="5"/>
  <c r="AG25" i="5"/>
  <c r="S20" i="5"/>
  <c r="AG18" i="5"/>
  <c r="S24" i="5"/>
  <c r="AG69" i="5"/>
  <c r="AG94" i="5"/>
  <c r="AG73" i="5"/>
  <c r="R49" i="5"/>
  <c r="R38" i="5"/>
  <c r="AG78" i="5"/>
  <c r="R120" i="5"/>
  <c r="R152" i="5"/>
  <c r="S129" i="5"/>
  <c r="S134" i="5"/>
  <c r="S155" i="5"/>
  <c r="R63" i="5"/>
  <c r="R104" i="5"/>
  <c r="AG96" i="5"/>
  <c r="S102" i="5"/>
  <c r="R74" i="5"/>
  <c r="R138" i="5"/>
  <c r="S161" i="5"/>
  <c r="R52" i="5"/>
  <c r="S42" i="5"/>
  <c r="AG68" i="5"/>
  <c r="R29" i="5"/>
  <c r="S39" i="5"/>
  <c r="S99" i="5"/>
  <c r="AG86" i="5"/>
  <c r="R93" i="5"/>
  <c r="AG47" i="5"/>
  <c r="R101" i="5"/>
  <c r="S140" i="5"/>
  <c r="R133" i="5"/>
  <c r="AG92" i="5"/>
  <c r="R153" i="5"/>
  <c r="S88" i="5"/>
  <c r="AG79" i="5"/>
  <c r="R59" i="5"/>
  <c r="S144" i="5"/>
  <c r="S35" i="5"/>
  <c r="R30" i="5"/>
  <c r="S103" i="5"/>
  <c r="S91" i="5"/>
  <c r="S87" i="5"/>
  <c r="R126" i="5"/>
  <c r="R160" i="5"/>
  <c r="R48" i="5"/>
  <c r="S112" i="5"/>
  <c r="R34" i="5"/>
  <c r="AG44" i="5"/>
  <c r="AG157" i="5"/>
  <c r="AG131" i="5"/>
  <c r="AG82" i="5"/>
  <c r="S113" i="5"/>
  <c r="AG154" i="5"/>
  <c r="R64" i="5"/>
  <c r="S66" i="5"/>
  <c r="R106" i="5"/>
  <c r="AG95" i="5"/>
  <c r="R90" i="5"/>
  <c r="AG125" i="5"/>
  <c r="R159" i="5"/>
  <c r="AG65" i="5"/>
  <c r="R128" i="5"/>
  <c r="R75" i="5"/>
  <c r="R60" i="5"/>
  <c r="R83" i="5"/>
  <c r="R114" i="5"/>
  <c r="R100" i="5"/>
  <c r="AG130" i="5"/>
  <c r="S55" i="5"/>
  <c r="S143" i="5"/>
  <c r="R61" i="5"/>
  <c r="S108" i="5"/>
  <c r="S72" i="5"/>
  <c r="S85" i="5"/>
  <c r="S158" i="5"/>
  <c r="R53" i="5"/>
  <c r="AG31" i="5"/>
  <c r="R141" i="5"/>
  <c r="S115" i="5"/>
  <c r="AG89" i="5"/>
  <c r="R19" i="5"/>
  <c r="AG22" i="5"/>
  <c r="S25" i="5"/>
  <c r="R18" i="5"/>
  <c r="AG24" i="5"/>
  <c r="AG32" i="5"/>
  <c r="S94" i="5"/>
  <c r="S118" i="5"/>
  <c r="AG49" i="5"/>
  <c r="S38" i="5"/>
  <c r="R56" i="5"/>
  <c r="S120" i="5"/>
  <c r="R129" i="5"/>
  <c r="AG134" i="5"/>
  <c r="R26" i="5"/>
  <c r="AG63" i="5"/>
  <c r="AG104" i="5"/>
  <c r="AG37" i="5"/>
  <c r="R102" i="5"/>
  <c r="S74" i="5"/>
  <c r="S105" i="5"/>
  <c r="R161" i="5"/>
  <c r="S52" i="5"/>
  <c r="AG164" i="5"/>
  <c r="R68" i="5"/>
  <c r="AG29" i="5"/>
  <c r="S109" i="5"/>
  <c r="AG99" i="5"/>
  <c r="S86" i="5"/>
  <c r="R162" i="5"/>
  <c r="S47" i="5"/>
  <c r="AG101" i="5"/>
  <c r="R43" i="5"/>
  <c r="R140" i="5"/>
  <c r="S133" i="5"/>
  <c r="R136" i="5"/>
  <c r="S153" i="5"/>
  <c r="AG88" i="5"/>
  <c r="S132" i="5"/>
  <c r="S59" i="5"/>
  <c r="R144" i="5"/>
  <c r="AG110" i="5"/>
  <c r="AG30" i="5"/>
  <c r="R103" i="5"/>
  <c r="R97" i="5"/>
  <c r="AG87" i="5"/>
  <c r="AG126" i="5"/>
  <c r="AG139" i="5"/>
  <c r="S48" i="5"/>
  <c r="R112" i="5"/>
  <c r="AG124" i="5"/>
  <c r="S44" i="5"/>
  <c r="S157" i="5"/>
  <c r="R148" i="5"/>
  <c r="S82" i="5"/>
  <c r="AG113" i="5"/>
  <c r="AG135" i="5"/>
  <c r="AG64" i="5"/>
  <c r="AG107" i="5"/>
  <c r="AG106" i="5"/>
  <c r="S95" i="5"/>
  <c r="R149" i="5"/>
  <c r="S125" i="5"/>
  <c r="S159" i="5"/>
  <c r="AG36" i="5"/>
  <c r="S128" i="5"/>
  <c r="S75" i="5"/>
  <c r="R57" i="5"/>
  <c r="S83" i="5"/>
  <c r="S54" i="5"/>
  <c r="R130" i="5"/>
  <c r="R55" i="5"/>
  <c r="AG111" i="5"/>
  <c r="S61" i="5"/>
  <c r="AG108" i="5"/>
  <c r="R147" i="5"/>
  <c r="R72" i="5"/>
  <c r="AG85" i="5"/>
  <c r="AG45" i="5"/>
  <c r="AG53" i="5"/>
  <c r="S31" i="5"/>
  <c r="S121" i="5"/>
  <c r="AG115" i="5"/>
  <c r="R89" i="5"/>
  <c r="AG21" i="5"/>
  <c r="AG20" i="5"/>
  <c r="S18" i="5"/>
  <c r="R69" i="5"/>
  <c r="S32" i="5"/>
  <c r="R94" i="5"/>
  <c r="AG118" i="5"/>
  <c r="S49" i="5"/>
  <c r="S78" i="5"/>
  <c r="S56" i="5"/>
  <c r="AG137" i="5"/>
  <c r="AG129" i="5"/>
  <c r="R155" i="5"/>
  <c r="AG26" i="5"/>
  <c r="S63" i="5"/>
  <c r="S96" i="5"/>
  <c r="S37" i="5"/>
  <c r="AG102" i="5"/>
  <c r="AG138" i="5"/>
  <c r="R105" i="5"/>
  <c r="AG161" i="5"/>
  <c r="R42" i="5"/>
  <c r="S164" i="5"/>
  <c r="S68" i="5"/>
  <c r="AG39" i="5"/>
  <c r="AG109" i="5"/>
  <c r="R99" i="5"/>
  <c r="AG93" i="5"/>
  <c r="S162" i="5"/>
  <c r="R47" i="5"/>
  <c r="R119" i="5"/>
  <c r="S43" i="5"/>
  <c r="AG140" i="5"/>
  <c r="S92" i="5"/>
  <c r="S136" i="5"/>
  <c r="AG153" i="5"/>
  <c r="R79" i="5"/>
  <c r="R132" i="5"/>
  <c r="AG59" i="5"/>
  <c r="R35" i="5"/>
  <c r="S110" i="5"/>
  <c r="S30" i="5"/>
  <c r="R91" i="5"/>
  <c r="AG97" i="5"/>
  <c r="R87" i="5"/>
  <c r="S160" i="5"/>
  <c r="S139" i="5"/>
  <c r="AG48" i="5"/>
  <c r="S34" i="5"/>
  <c r="S124" i="5"/>
  <c r="R44" i="5"/>
  <c r="S131" i="5"/>
  <c r="S148" i="5"/>
  <c r="R82" i="5"/>
  <c r="R154" i="5"/>
  <c r="R135" i="5"/>
  <c r="S64" i="5"/>
  <c r="R107" i="5"/>
  <c r="S106" i="5"/>
  <c r="AG90" i="5"/>
  <c r="AG149" i="5"/>
  <c r="R125" i="5"/>
  <c r="R65" i="5"/>
  <c r="R36" i="5"/>
  <c r="AG128" i="5"/>
  <c r="AG60" i="5"/>
  <c r="S57" i="5"/>
  <c r="AG100" i="5"/>
  <c r="R54" i="5"/>
  <c r="S130" i="5"/>
  <c r="R143" i="5"/>
  <c r="R111" i="5"/>
  <c r="S76" i="5"/>
  <c r="AG147" i="5"/>
  <c r="R158" i="5"/>
  <c r="R45" i="5"/>
  <c r="S53" i="5"/>
  <c r="AG141" i="5"/>
  <c r="R121" i="5"/>
  <c r="R115" i="5"/>
  <c r="AG19" i="5"/>
  <c r="U19" i="5" l="1"/>
  <c r="F115" i="6"/>
  <c r="E115" i="12"/>
  <c r="F121" i="6"/>
  <c r="E121" i="12"/>
  <c r="U141" i="5"/>
  <c r="F53" i="12"/>
  <c r="G53" i="6"/>
  <c r="E45" i="12"/>
  <c r="F45" i="6"/>
  <c r="F158" i="6"/>
  <c r="E158" i="12"/>
  <c r="U147" i="5"/>
  <c r="F76" i="12"/>
  <c r="G76" i="6"/>
  <c r="F111" i="6"/>
  <c r="E111" i="12"/>
  <c r="E143" i="12"/>
  <c r="F143" i="6"/>
  <c r="F130" i="12"/>
  <c r="G130" i="6"/>
  <c r="E54" i="12"/>
  <c r="F54" i="6"/>
  <c r="U100" i="5"/>
  <c r="F57" i="12"/>
  <c r="G57" i="6"/>
  <c r="U60" i="5"/>
  <c r="U128" i="5"/>
  <c r="E36" i="12"/>
  <c r="F36" i="6"/>
  <c r="E65" i="12"/>
  <c r="F65" i="6"/>
  <c r="F125" i="6"/>
  <c r="E125" i="12"/>
  <c r="U149" i="5"/>
  <c r="U90" i="5"/>
  <c r="G106" i="6"/>
  <c r="F106" i="12"/>
  <c r="E107" i="12"/>
  <c r="F107" i="6"/>
  <c r="F64" i="12"/>
  <c r="G64" i="6"/>
  <c r="F135" i="6"/>
  <c r="E135" i="12"/>
  <c r="E154" i="12"/>
  <c r="F154" i="6"/>
  <c r="E82" i="12"/>
  <c r="F82" i="6"/>
  <c r="F148" i="12"/>
  <c r="G148" i="6"/>
  <c r="F131" i="12"/>
  <c r="G131" i="6"/>
  <c r="F44" i="6"/>
  <c r="E44" i="12"/>
  <c r="F124" i="12"/>
  <c r="G124" i="6"/>
  <c r="F34" i="12"/>
  <c r="G34" i="6"/>
  <c r="U48" i="5"/>
  <c r="F139" i="12"/>
  <c r="G139" i="6"/>
  <c r="F160" i="12"/>
  <c r="G160" i="6"/>
  <c r="E87" i="12"/>
  <c r="F87" i="6"/>
  <c r="U97" i="5"/>
  <c r="E91" i="12"/>
  <c r="F91" i="6"/>
  <c r="G30" i="6"/>
  <c r="F30" i="12"/>
  <c r="F110" i="12"/>
  <c r="G110" i="6"/>
  <c r="F35" i="6"/>
  <c r="E35" i="12"/>
  <c r="U59" i="5"/>
  <c r="E132" i="12"/>
  <c r="F132" i="6"/>
  <c r="F79" i="6"/>
  <c r="E79" i="12"/>
  <c r="U153" i="5"/>
  <c r="F136" i="12"/>
  <c r="G136" i="6"/>
  <c r="F92" i="12"/>
  <c r="G92" i="6"/>
  <c r="U140" i="5"/>
  <c r="G43" i="6"/>
  <c r="F43" i="12"/>
  <c r="F119" i="6"/>
  <c r="E119" i="12"/>
  <c r="F47" i="6"/>
  <c r="E47" i="12"/>
  <c r="F162" i="12"/>
  <c r="G162" i="6"/>
  <c r="U93" i="5"/>
  <c r="E99" i="12"/>
  <c r="F99" i="6"/>
  <c r="U109" i="5"/>
  <c r="U39" i="5"/>
  <c r="F68" i="12"/>
  <c r="G68" i="6"/>
  <c r="G164" i="6"/>
  <c r="F164" i="12"/>
  <c r="F42" i="6"/>
  <c r="E42" i="12"/>
  <c r="U161" i="5"/>
  <c r="F105" i="6"/>
  <c r="E105" i="12"/>
  <c r="U138" i="5"/>
  <c r="U102" i="5"/>
  <c r="G37" i="6"/>
  <c r="F37" i="12"/>
  <c r="F96" i="12"/>
  <c r="G96" i="6"/>
  <c r="F63" i="12"/>
  <c r="G63" i="6"/>
  <c r="U26" i="5"/>
  <c r="F155" i="6"/>
  <c r="E155" i="12"/>
  <c r="U129" i="5"/>
  <c r="U137" i="5"/>
  <c r="G56" i="6"/>
  <c r="F56" i="12"/>
  <c r="G78" i="6"/>
  <c r="F78" i="12"/>
  <c r="G49" i="6"/>
  <c r="F49" i="12"/>
  <c r="U118" i="5"/>
  <c r="E94" i="12"/>
  <c r="F94" i="6"/>
  <c r="G32" i="6"/>
  <c r="F32" i="12"/>
  <c r="F69" i="6"/>
  <c r="E69" i="12"/>
  <c r="F18" i="12"/>
  <c r="G18" i="6"/>
  <c r="U20" i="5"/>
  <c r="U21" i="5"/>
  <c r="F89" i="6"/>
  <c r="E89" i="12"/>
  <c r="U115" i="5"/>
  <c r="G121" i="6"/>
  <c r="F121" i="12"/>
  <c r="G31" i="6"/>
  <c r="F31" i="12"/>
  <c r="U53" i="5"/>
  <c r="U45" i="5"/>
  <c r="U85" i="5"/>
  <c r="E72" i="12"/>
  <c r="F72" i="6"/>
  <c r="F147" i="6"/>
  <c r="E147" i="12"/>
  <c r="U108" i="5"/>
  <c r="F61" i="12"/>
  <c r="G61" i="6"/>
  <c r="U111" i="5"/>
  <c r="F55" i="6"/>
  <c r="E55" i="12"/>
  <c r="E130" i="12"/>
  <c r="F130" i="6"/>
  <c r="F54" i="12"/>
  <c r="G54" i="6"/>
  <c r="F83" i="12"/>
  <c r="G83" i="6"/>
  <c r="F57" i="6"/>
  <c r="E57" i="12"/>
  <c r="G75" i="6"/>
  <c r="F75" i="12"/>
  <c r="G128" i="6"/>
  <c r="F128" i="12"/>
  <c r="U36" i="5"/>
  <c r="F159" i="12"/>
  <c r="G159" i="6"/>
  <c r="F125" i="12"/>
  <c r="G125" i="6"/>
  <c r="E149" i="12"/>
  <c r="F149" i="6"/>
  <c r="G95" i="6"/>
  <c r="F95" i="12"/>
  <c r="U106" i="5"/>
  <c r="U107" i="5"/>
  <c r="U64" i="5"/>
  <c r="U135" i="5"/>
  <c r="U113" i="5"/>
  <c r="F82" i="12"/>
  <c r="G82" i="6"/>
  <c r="F148" i="6"/>
  <c r="E148" i="12"/>
  <c r="G157" i="6"/>
  <c r="F157" i="12"/>
  <c r="G44" i="6"/>
  <c r="F44" i="12"/>
  <c r="U124" i="5"/>
  <c r="F112" i="6"/>
  <c r="E112" i="12"/>
  <c r="F48" i="12"/>
  <c r="G48" i="6"/>
  <c r="U139" i="5"/>
  <c r="U126" i="5"/>
  <c r="U87" i="5"/>
  <c r="E97" i="12"/>
  <c r="F97" i="6"/>
  <c r="E103" i="12"/>
  <c r="F103" i="6"/>
  <c r="U30" i="5"/>
  <c r="U110" i="5"/>
  <c r="F144" i="6"/>
  <c r="E144" i="12"/>
  <c r="F59" i="12"/>
  <c r="G59" i="6"/>
  <c r="F132" i="12"/>
  <c r="G132" i="6"/>
  <c r="U88" i="5"/>
  <c r="F153" i="12"/>
  <c r="G153" i="6"/>
  <c r="E136" i="12"/>
  <c r="F136" i="6"/>
  <c r="G133" i="6"/>
  <c r="F133" i="12"/>
  <c r="E140" i="12"/>
  <c r="F140" i="6"/>
  <c r="F43" i="6"/>
  <c r="E43" i="12"/>
  <c r="U101" i="5"/>
  <c r="F47" i="12"/>
  <c r="G47" i="6"/>
  <c r="F162" i="6"/>
  <c r="E162" i="12"/>
  <c r="F86" i="12"/>
  <c r="G86" i="6"/>
  <c r="U99" i="5"/>
  <c r="F109" i="12"/>
  <c r="G109" i="6"/>
  <c r="U29" i="5"/>
  <c r="F68" i="6"/>
  <c r="E68" i="12"/>
  <c r="U164" i="5"/>
  <c r="F52" i="12"/>
  <c r="G52" i="6"/>
  <c r="E161" i="12"/>
  <c r="F161" i="6"/>
  <c r="F105" i="12"/>
  <c r="G105" i="6"/>
  <c r="G74" i="6"/>
  <c r="F74" i="12"/>
  <c r="E102" i="12"/>
  <c r="F102" i="6"/>
  <c r="U37" i="5"/>
  <c r="U104" i="5"/>
  <c r="U63" i="5"/>
  <c r="F26" i="6"/>
  <c r="E26" i="12"/>
  <c r="U134" i="5"/>
  <c r="F129" i="6"/>
  <c r="E129" i="12"/>
  <c r="F120" i="12"/>
  <c r="G120" i="6"/>
  <c r="E56" i="12"/>
  <c r="F56" i="6"/>
  <c r="F38" i="12"/>
  <c r="G38" i="6"/>
  <c r="U49" i="5"/>
  <c r="F118" i="12"/>
  <c r="G118" i="6"/>
  <c r="F94" i="12"/>
  <c r="G94" i="6"/>
  <c r="U32" i="5"/>
  <c r="U24" i="5"/>
  <c r="E18" i="12"/>
  <c r="F18" i="6"/>
  <c r="G25" i="6"/>
  <c r="F25" i="12"/>
  <c r="U22" i="5"/>
  <c r="F19" i="6"/>
  <c r="E19" i="12"/>
  <c r="U89" i="5"/>
  <c r="G115" i="6"/>
  <c r="F115" i="12"/>
  <c r="F141" i="6"/>
  <c r="E141" i="12"/>
  <c r="U31" i="5"/>
  <c r="F53" i="6"/>
  <c r="E53" i="12"/>
  <c r="G158" i="6"/>
  <c r="F158" i="12"/>
  <c r="G85" i="6"/>
  <c r="F85" i="12"/>
  <c r="F72" i="12"/>
  <c r="G72" i="6"/>
  <c r="G108" i="6"/>
  <c r="F108" i="12"/>
  <c r="F61" i="6"/>
  <c r="E61" i="12"/>
  <c r="F143" i="12"/>
  <c r="G143" i="6"/>
  <c r="G55" i="6"/>
  <c r="F55" i="12"/>
  <c r="U130" i="5"/>
  <c r="F100" i="6"/>
  <c r="E100" i="12"/>
  <c r="F114" i="6"/>
  <c r="E114" i="12"/>
  <c r="F83" i="6"/>
  <c r="E83" i="12"/>
  <c r="F60" i="6"/>
  <c r="E60" i="12"/>
  <c r="F75" i="6"/>
  <c r="E75" i="12"/>
  <c r="E128" i="12"/>
  <c r="F128" i="6"/>
  <c r="U65" i="5"/>
  <c r="E159" i="12"/>
  <c r="F159" i="6"/>
  <c r="U125" i="5"/>
  <c r="F90" i="6"/>
  <c r="E90" i="12"/>
  <c r="U95" i="5"/>
  <c r="F106" i="6"/>
  <c r="E106" i="12"/>
  <c r="F66" i="12"/>
  <c r="G66" i="6"/>
  <c r="E64" i="12"/>
  <c r="F64" i="6"/>
  <c r="U154" i="5"/>
  <c r="G113" i="6"/>
  <c r="F113" i="12"/>
  <c r="U82" i="5"/>
  <c r="U131" i="5"/>
  <c r="U157" i="5"/>
  <c r="U44" i="5"/>
  <c r="F34" i="6"/>
  <c r="E34" i="12"/>
  <c r="F112" i="12"/>
  <c r="G112" i="6"/>
  <c r="F48" i="6"/>
  <c r="E48" i="12"/>
  <c r="F160" i="6"/>
  <c r="E160" i="12"/>
  <c r="F126" i="6"/>
  <c r="E126" i="12"/>
  <c r="G87" i="6"/>
  <c r="F87" i="12"/>
  <c r="G91" i="6"/>
  <c r="F91" i="12"/>
  <c r="F103" i="12"/>
  <c r="G103" i="6"/>
  <c r="F30" i="6"/>
  <c r="E30" i="12"/>
  <c r="F35" i="12"/>
  <c r="G35" i="6"/>
  <c r="G144" i="6"/>
  <c r="F144" i="12"/>
  <c r="E59" i="12"/>
  <c r="F59" i="6"/>
  <c r="U79" i="5"/>
  <c r="F88" i="12"/>
  <c r="G88" i="6"/>
  <c r="F153" i="6"/>
  <c r="E153" i="12"/>
  <c r="U92" i="5"/>
  <c r="F133" i="6"/>
  <c r="E133" i="12"/>
  <c r="G140" i="6"/>
  <c r="F140" i="12"/>
  <c r="F101" i="6"/>
  <c r="E101" i="12"/>
  <c r="U47" i="5"/>
  <c r="E93" i="12"/>
  <c r="F93" i="6"/>
  <c r="U86" i="5"/>
  <c r="F99" i="12"/>
  <c r="G99" i="6"/>
  <c r="G39" i="6"/>
  <c r="F39" i="12"/>
  <c r="E29" i="12"/>
  <c r="F29" i="6"/>
  <c r="U68" i="5"/>
  <c r="G42" i="6"/>
  <c r="F42" i="12"/>
  <c r="F52" i="6"/>
  <c r="E52" i="12"/>
  <c r="G161" i="6"/>
  <c r="F161" i="12"/>
  <c r="F138" i="6"/>
  <c r="E138" i="12"/>
  <c r="E74" i="12"/>
  <c r="F74" i="6"/>
  <c r="F102" i="12"/>
  <c r="G102" i="6"/>
  <c r="U96" i="5"/>
  <c r="E104" i="12"/>
  <c r="F104" i="6"/>
  <c r="E63" i="12"/>
  <c r="F63" i="6"/>
  <c r="G155" i="6"/>
  <c r="F155" i="12"/>
  <c r="G134" i="6"/>
  <c r="F134" i="12"/>
  <c r="G129" i="6"/>
  <c r="F129" i="12"/>
  <c r="F152" i="6"/>
  <c r="E152" i="12"/>
  <c r="F120" i="6"/>
  <c r="E120" i="12"/>
  <c r="U78" i="5"/>
  <c r="F38" i="6"/>
  <c r="E38" i="12"/>
  <c r="E49" i="12"/>
  <c r="F49" i="6"/>
  <c r="U73" i="5"/>
  <c r="U94" i="5"/>
  <c r="U69" i="5"/>
  <c r="F24" i="12"/>
  <c r="G24" i="6"/>
  <c r="U18" i="5"/>
  <c r="F20" i="12"/>
  <c r="G20" i="6"/>
  <c r="U25" i="5"/>
  <c r="F21" i="12"/>
  <c r="G21" i="6"/>
  <c r="F22" i="6"/>
  <c r="E22" i="12"/>
  <c r="F19" i="12"/>
  <c r="G19" i="6"/>
  <c r="G89" i="6"/>
  <c r="F89" i="12"/>
  <c r="U121" i="5"/>
  <c r="G141" i="6"/>
  <c r="F141" i="12"/>
  <c r="E31" i="12"/>
  <c r="F31" i="6"/>
  <c r="F45" i="12"/>
  <c r="G45" i="6"/>
  <c r="U158" i="5"/>
  <c r="F85" i="6"/>
  <c r="E85" i="12"/>
  <c r="F147" i="12"/>
  <c r="G147" i="6"/>
  <c r="F76" i="6"/>
  <c r="E76" i="12"/>
  <c r="E108" i="12"/>
  <c r="F108" i="6"/>
  <c r="G111" i="6"/>
  <c r="F111" i="12"/>
  <c r="U143" i="5"/>
  <c r="U55" i="5"/>
  <c r="U54" i="5"/>
  <c r="F100" i="12"/>
  <c r="G100" i="6"/>
  <c r="F114" i="12"/>
  <c r="G114" i="6"/>
  <c r="U57" i="5"/>
  <c r="F60" i="12"/>
  <c r="G60" i="6"/>
  <c r="U75" i="5"/>
  <c r="F36" i="12"/>
  <c r="G36" i="6"/>
  <c r="G65" i="6"/>
  <c r="F65" i="12"/>
  <c r="U159" i="5"/>
  <c r="G149" i="6"/>
  <c r="F149" i="12"/>
  <c r="G90" i="6"/>
  <c r="F90" i="12"/>
  <c r="E95" i="12"/>
  <c r="F95" i="6"/>
  <c r="F107" i="12"/>
  <c r="G107" i="6"/>
  <c r="U66" i="5"/>
  <c r="G135" i="6"/>
  <c r="F135" i="12"/>
  <c r="F154" i="12"/>
  <c r="G154" i="6"/>
  <c r="F113" i="6"/>
  <c r="E113" i="12"/>
  <c r="U148" i="5"/>
  <c r="F131" i="6"/>
  <c r="E131" i="12"/>
  <c r="F157" i="6"/>
  <c r="E157" i="12"/>
  <c r="E124" i="12"/>
  <c r="F124" i="6"/>
  <c r="U34" i="5"/>
  <c r="U112" i="5"/>
  <c r="E139" i="12"/>
  <c r="F139" i="6"/>
  <c r="U160" i="5"/>
  <c r="F126" i="12"/>
  <c r="G126" i="6"/>
  <c r="G97" i="6"/>
  <c r="F97" i="12"/>
  <c r="U91" i="5"/>
  <c r="U103" i="5"/>
  <c r="E110" i="12"/>
  <c r="F110" i="6"/>
  <c r="U35" i="5"/>
  <c r="U144" i="5"/>
  <c r="U132" i="5"/>
  <c r="F79" i="12"/>
  <c r="G79" i="6"/>
  <c r="E88" i="12"/>
  <c r="F88" i="6"/>
  <c r="U136" i="5"/>
  <c r="F92" i="6"/>
  <c r="E92" i="12"/>
  <c r="U133" i="5"/>
  <c r="U43" i="5"/>
  <c r="F119" i="12"/>
  <c r="G119" i="6"/>
  <c r="G101" i="6"/>
  <c r="F101" i="12"/>
  <c r="U162" i="5"/>
  <c r="G93" i="6"/>
  <c r="F93" i="12"/>
  <c r="F86" i="6"/>
  <c r="E86" i="12"/>
  <c r="F109" i="6"/>
  <c r="E109" i="12"/>
  <c r="E39" i="12"/>
  <c r="F39" i="6"/>
  <c r="F29" i="12"/>
  <c r="G29" i="6"/>
  <c r="F164" i="6"/>
  <c r="E164" i="12"/>
  <c r="U42" i="5"/>
  <c r="U52" i="5"/>
  <c r="U105" i="5"/>
  <c r="F138" i="12"/>
  <c r="G138" i="6"/>
  <c r="U74" i="5"/>
  <c r="E37" i="12"/>
  <c r="F37" i="6"/>
  <c r="E96" i="12"/>
  <c r="F96" i="6"/>
  <c r="G104" i="6"/>
  <c r="F104" i="12"/>
  <c r="F26" i="12"/>
  <c r="G26" i="6"/>
  <c r="U155" i="5"/>
  <c r="E134" i="12"/>
  <c r="F134" i="6"/>
  <c r="G137" i="6"/>
  <c r="F137" i="12"/>
  <c r="F152" i="12"/>
  <c r="G152" i="6"/>
  <c r="U56" i="5"/>
  <c r="F78" i="6"/>
  <c r="E78" i="12"/>
  <c r="U38" i="5"/>
  <c r="F118" i="6"/>
  <c r="E118" i="12"/>
  <c r="F73" i="12"/>
  <c r="G73" i="6"/>
  <c r="E32" i="12"/>
  <c r="F32" i="6"/>
  <c r="F69" i="12"/>
  <c r="G69" i="6"/>
  <c r="F24" i="6"/>
  <c r="E24" i="12"/>
  <c r="F20" i="6"/>
  <c r="E20" i="12"/>
  <c r="F25" i="6"/>
  <c r="E25" i="12"/>
  <c r="E21" i="12"/>
  <c r="F21" i="6"/>
  <c r="F22" i="12"/>
  <c r="G22" i="6"/>
  <c r="E14" i="12"/>
  <c r="F14" i="6"/>
  <c r="AC14" i="5"/>
  <c r="F17" i="12"/>
  <c r="F23" i="12"/>
  <c r="F14" i="12"/>
  <c r="G14" i="6"/>
  <c r="F16" i="12"/>
  <c r="AN155" i="5" l="1"/>
  <c r="W155" i="5"/>
  <c r="AN42" i="5"/>
  <c r="W42" i="5"/>
  <c r="AN91" i="5"/>
  <c r="W91" i="5"/>
  <c r="AN148" i="5"/>
  <c r="W148" i="5"/>
  <c r="AN66" i="5"/>
  <c r="W66" i="5"/>
  <c r="AN55" i="5"/>
  <c r="W55" i="5"/>
  <c r="W18" i="5"/>
  <c r="AN18" i="5"/>
  <c r="W94" i="5"/>
  <c r="AN94" i="5"/>
  <c r="W78" i="5"/>
  <c r="AN78" i="5"/>
  <c r="AN92" i="5"/>
  <c r="W92" i="5"/>
  <c r="W82" i="5"/>
  <c r="AN82" i="5"/>
  <c r="W130" i="5"/>
  <c r="AN130" i="5"/>
  <c r="W32" i="5"/>
  <c r="AN32" i="5"/>
  <c r="W134" i="5"/>
  <c r="AN134" i="5"/>
  <c r="W63" i="5"/>
  <c r="AN63" i="5"/>
  <c r="AN88" i="5"/>
  <c r="W88" i="5"/>
  <c r="W110" i="5"/>
  <c r="AN110" i="5"/>
  <c r="W87" i="5"/>
  <c r="AN87" i="5"/>
  <c r="W124" i="5"/>
  <c r="AN124" i="5"/>
  <c r="W64" i="5"/>
  <c r="AN64" i="5"/>
  <c r="W36" i="5"/>
  <c r="AN36" i="5"/>
  <c r="AN85" i="5"/>
  <c r="W85" i="5"/>
  <c r="AN20" i="5"/>
  <c r="W20" i="5"/>
  <c r="AN109" i="5"/>
  <c r="W109" i="5"/>
  <c r="AN93" i="5"/>
  <c r="W93" i="5"/>
  <c r="AN153" i="5"/>
  <c r="W153" i="5"/>
  <c r="AN141" i="5"/>
  <c r="W141" i="5"/>
  <c r="W162" i="5"/>
  <c r="AN162" i="5"/>
  <c r="W132" i="5"/>
  <c r="AN132" i="5"/>
  <c r="AN160" i="5"/>
  <c r="W160" i="5"/>
  <c r="AN112" i="5"/>
  <c r="W112" i="5"/>
  <c r="AN143" i="5"/>
  <c r="W143" i="5"/>
  <c r="W25" i="5"/>
  <c r="AN25" i="5"/>
  <c r="W73" i="5"/>
  <c r="AN73" i="5"/>
  <c r="AN44" i="5"/>
  <c r="W44" i="5"/>
  <c r="W95" i="5"/>
  <c r="AN95" i="5"/>
  <c r="W125" i="5"/>
  <c r="AN125" i="5"/>
  <c r="AN65" i="5"/>
  <c r="W65" i="5"/>
  <c r="AN89" i="5"/>
  <c r="W89" i="5"/>
  <c r="AN22" i="5"/>
  <c r="W22" i="5"/>
  <c r="AN49" i="5"/>
  <c r="W49" i="5"/>
  <c r="AN104" i="5"/>
  <c r="W104" i="5"/>
  <c r="AN30" i="5"/>
  <c r="W30" i="5"/>
  <c r="W126" i="5"/>
  <c r="AN126" i="5"/>
  <c r="W107" i="5"/>
  <c r="AN107" i="5"/>
  <c r="AN108" i="5"/>
  <c r="W108" i="5"/>
  <c r="AN45" i="5"/>
  <c r="W45" i="5"/>
  <c r="AN128" i="5"/>
  <c r="W128" i="5"/>
  <c r="W100" i="5"/>
  <c r="AN100" i="5"/>
  <c r="W105" i="5"/>
  <c r="AN105" i="5"/>
  <c r="AN43" i="5"/>
  <c r="W43" i="5"/>
  <c r="W144" i="5"/>
  <c r="AN144" i="5"/>
  <c r="AN34" i="5"/>
  <c r="W34" i="5"/>
  <c r="AN159" i="5"/>
  <c r="W159" i="5"/>
  <c r="W57" i="5"/>
  <c r="AN57" i="5"/>
  <c r="W79" i="5"/>
  <c r="AN79" i="5"/>
  <c r="W157" i="5"/>
  <c r="AN157" i="5"/>
  <c r="W37" i="5"/>
  <c r="AN37" i="5"/>
  <c r="AN99" i="5"/>
  <c r="W99" i="5"/>
  <c r="AN101" i="5"/>
  <c r="W101" i="5"/>
  <c r="AN139" i="5"/>
  <c r="W139" i="5"/>
  <c r="AN113" i="5"/>
  <c r="W113" i="5"/>
  <c r="W106" i="5"/>
  <c r="AN106" i="5"/>
  <c r="AN111" i="5"/>
  <c r="W111" i="5"/>
  <c r="W53" i="5"/>
  <c r="AN53" i="5"/>
  <c r="W137" i="5"/>
  <c r="AN137" i="5"/>
  <c r="AN102" i="5"/>
  <c r="W102" i="5"/>
  <c r="AN97" i="5"/>
  <c r="W97" i="5"/>
  <c r="W48" i="5"/>
  <c r="AN48" i="5"/>
  <c r="W90" i="5"/>
  <c r="AN90" i="5"/>
  <c r="AN60" i="5"/>
  <c r="W60" i="5"/>
  <c r="W38" i="5"/>
  <c r="AN38" i="5"/>
  <c r="W56" i="5"/>
  <c r="AN56" i="5"/>
  <c r="W74" i="5"/>
  <c r="AN74" i="5"/>
  <c r="AN52" i="5"/>
  <c r="W52" i="5"/>
  <c r="W133" i="5"/>
  <c r="AN133" i="5"/>
  <c r="W136" i="5"/>
  <c r="AN136" i="5"/>
  <c r="AN35" i="5"/>
  <c r="W35" i="5"/>
  <c r="W103" i="5"/>
  <c r="AN103" i="5"/>
  <c r="W75" i="5"/>
  <c r="AN75" i="5"/>
  <c r="W54" i="5"/>
  <c r="AN54" i="5"/>
  <c r="AN158" i="5"/>
  <c r="W158" i="5"/>
  <c r="AN121" i="5"/>
  <c r="W121" i="5"/>
  <c r="AN69" i="5"/>
  <c r="W69" i="5"/>
  <c r="AN96" i="5"/>
  <c r="W96" i="5"/>
  <c r="AN68" i="5"/>
  <c r="W68" i="5"/>
  <c r="W86" i="5"/>
  <c r="AN86" i="5"/>
  <c r="W47" i="5"/>
  <c r="AN47" i="5"/>
  <c r="W131" i="5"/>
  <c r="AN131" i="5"/>
  <c r="AN154" i="5"/>
  <c r="W154" i="5"/>
  <c r="W31" i="5"/>
  <c r="AN31" i="5"/>
  <c r="W24" i="5"/>
  <c r="AN24" i="5"/>
  <c r="W164" i="5"/>
  <c r="AN164" i="5"/>
  <c r="W29" i="5"/>
  <c r="AN29" i="5"/>
  <c r="W135" i="5"/>
  <c r="AN135" i="5"/>
  <c r="AN115" i="5"/>
  <c r="W115" i="5"/>
  <c r="AN21" i="5"/>
  <c r="W21" i="5"/>
  <c r="W118" i="5"/>
  <c r="AN118" i="5"/>
  <c r="AN129" i="5"/>
  <c r="W129" i="5"/>
  <c r="AN26" i="5"/>
  <c r="W26" i="5"/>
  <c r="W138" i="5"/>
  <c r="AN138" i="5"/>
  <c r="AN161" i="5"/>
  <c r="W161" i="5"/>
  <c r="W39" i="5"/>
  <c r="AN39" i="5"/>
  <c r="W140" i="5"/>
  <c r="AN140" i="5"/>
  <c r="AN59" i="5"/>
  <c r="W59" i="5"/>
  <c r="W149" i="5"/>
  <c r="AN149" i="5"/>
  <c r="AN147" i="5"/>
  <c r="W147" i="5"/>
  <c r="AN19" i="5"/>
  <c r="W19" i="5"/>
  <c r="H19" i="12" l="1"/>
  <c r="X19" i="5"/>
  <c r="H161" i="12"/>
  <c r="X161" i="5"/>
  <c r="H26" i="12"/>
  <c r="X26" i="5"/>
  <c r="H115" i="12"/>
  <c r="X115" i="5"/>
  <c r="X154" i="5"/>
  <c r="H154" i="12"/>
  <c r="H68" i="12"/>
  <c r="X68" i="5"/>
  <c r="H69" i="12"/>
  <c r="X69" i="5"/>
  <c r="X158" i="5"/>
  <c r="H158" i="12"/>
  <c r="H35" i="12"/>
  <c r="X35" i="5"/>
  <c r="X97" i="5"/>
  <c r="H97" i="12"/>
  <c r="X111" i="5"/>
  <c r="H111" i="12"/>
  <c r="H113" i="12"/>
  <c r="X113" i="5"/>
  <c r="H101" i="12"/>
  <c r="X101" i="5"/>
  <c r="H159" i="12"/>
  <c r="X159" i="5"/>
  <c r="H128" i="12"/>
  <c r="X128" i="5"/>
  <c r="H108" i="12"/>
  <c r="X108" i="5"/>
  <c r="H104" i="12"/>
  <c r="X104" i="5"/>
  <c r="H22" i="12"/>
  <c r="X22" i="5"/>
  <c r="X65" i="5"/>
  <c r="H65" i="12"/>
  <c r="H143" i="12"/>
  <c r="X143" i="5"/>
  <c r="X160" i="5"/>
  <c r="H160" i="12"/>
  <c r="H153" i="12"/>
  <c r="X153" i="5"/>
  <c r="X109" i="5"/>
  <c r="H109" i="12"/>
  <c r="X85" i="5"/>
  <c r="H85" i="12"/>
  <c r="X88" i="5"/>
  <c r="H88" i="12"/>
  <c r="X92" i="5"/>
  <c r="H92" i="12"/>
  <c r="X55" i="5"/>
  <c r="H55" i="12"/>
  <c r="H148" i="12"/>
  <c r="X148" i="5"/>
  <c r="X42" i="5"/>
  <c r="H42" i="12"/>
  <c r="H149" i="12"/>
  <c r="X149" i="5"/>
  <c r="X140" i="5"/>
  <c r="H140" i="12"/>
  <c r="X118" i="5"/>
  <c r="H118" i="12"/>
  <c r="H29" i="12"/>
  <c r="X29" i="5"/>
  <c r="X24" i="5"/>
  <c r="H24" i="12"/>
  <c r="H47" i="12"/>
  <c r="X47" i="5"/>
  <c r="H75" i="12"/>
  <c r="X75" i="5"/>
  <c r="X133" i="5"/>
  <c r="H133" i="12"/>
  <c r="X74" i="5"/>
  <c r="H74" i="12"/>
  <c r="H38" i="12"/>
  <c r="X38" i="5"/>
  <c r="X90" i="5"/>
  <c r="H90" i="12"/>
  <c r="X137" i="5"/>
  <c r="H137" i="12"/>
  <c r="X37" i="5"/>
  <c r="H37" i="12"/>
  <c r="X79" i="5"/>
  <c r="H79" i="12"/>
  <c r="X144" i="5"/>
  <c r="H144" i="12"/>
  <c r="X105" i="5"/>
  <c r="H105" i="12"/>
  <c r="H126" i="12"/>
  <c r="X126" i="5"/>
  <c r="X95" i="5"/>
  <c r="H95" i="12"/>
  <c r="X73" i="5"/>
  <c r="H73" i="12"/>
  <c r="X162" i="5"/>
  <c r="H162" i="12"/>
  <c r="X64" i="5"/>
  <c r="H64" i="12"/>
  <c r="X87" i="5"/>
  <c r="H87" i="12"/>
  <c r="H134" i="12"/>
  <c r="X134" i="5"/>
  <c r="H130" i="12"/>
  <c r="X130" i="5"/>
  <c r="X94" i="5"/>
  <c r="H94" i="12"/>
  <c r="X147" i="5"/>
  <c r="H147" i="12"/>
  <c r="X59" i="5"/>
  <c r="H59" i="12"/>
  <c r="X129" i="5"/>
  <c r="H129" i="12"/>
  <c r="H21" i="12"/>
  <c r="X21" i="5"/>
  <c r="X96" i="5"/>
  <c r="H96" i="12"/>
  <c r="X121" i="5"/>
  <c r="H121" i="12"/>
  <c r="X52" i="5"/>
  <c r="H52" i="12"/>
  <c r="H60" i="12"/>
  <c r="X60" i="5"/>
  <c r="H102" i="12"/>
  <c r="X102" i="5"/>
  <c r="X139" i="5"/>
  <c r="H139" i="12"/>
  <c r="H99" i="12"/>
  <c r="X99" i="5"/>
  <c r="X34" i="5"/>
  <c r="H34" i="12"/>
  <c r="H43" i="12"/>
  <c r="X43" i="5"/>
  <c r="H45" i="12"/>
  <c r="X45" i="5"/>
  <c r="H30" i="12"/>
  <c r="X30" i="5"/>
  <c r="H49" i="12"/>
  <c r="X49" i="5"/>
  <c r="X89" i="5"/>
  <c r="H89" i="12"/>
  <c r="H44" i="12"/>
  <c r="X44" i="5"/>
  <c r="H112" i="12"/>
  <c r="X112" i="5"/>
  <c r="H141" i="12"/>
  <c r="X141" i="5"/>
  <c r="X93" i="5"/>
  <c r="H93" i="12"/>
  <c r="H20" i="12"/>
  <c r="X20" i="5"/>
  <c r="X66" i="5"/>
  <c r="H66" i="12"/>
  <c r="H91" i="12"/>
  <c r="X91" i="5"/>
  <c r="X155" i="5"/>
  <c r="H155" i="12"/>
  <c r="X39" i="5"/>
  <c r="H39" i="12"/>
  <c r="X138" i="5"/>
  <c r="H138" i="12"/>
  <c r="X135" i="5"/>
  <c r="H135" i="12"/>
  <c r="X164" i="5"/>
  <c r="H164" i="12"/>
  <c r="X31" i="5"/>
  <c r="H31" i="12"/>
  <c r="X131" i="5"/>
  <c r="H131" i="12"/>
  <c r="H86" i="12"/>
  <c r="X86" i="5"/>
  <c r="H54" i="12"/>
  <c r="X54" i="5"/>
  <c r="X103" i="5"/>
  <c r="H103" i="12"/>
  <c r="X136" i="5"/>
  <c r="H136" i="12"/>
  <c r="H56" i="12"/>
  <c r="X56" i="5"/>
  <c r="X48" i="5"/>
  <c r="H48" i="12"/>
  <c r="H53" i="12"/>
  <c r="X53" i="5"/>
  <c r="X106" i="5"/>
  <c r="H106" i="12"/>
  <c r="H157" i="12"/>
  <c r="X157" i="5"/>
  <c r="H57" i="12"/>
  <c r="X57" i="5"/>
  <c r="X100" i="5"/>
  <c r="H100" i="12"/>
  <c r="X107" i="5"/>
  <c r="H107" i="12"/>
  <c r="X125" i="5"/>
  <c r="H125" i="12"/>
  <c r="X25" i="5"/>
  <c r="H25" i="12"/>
  <c r="X132" i="5"/>
  <c r="H132" i="12"/>
  <c r="H36" i="12"/>
  <c r="X36" i="5"/>
  <c r="H124" i="12"/>
  <c r="X124" i="5"/>
  <c r="X110" i="5"/>
  <c r="H110" i="12"/>
  <c r="X63" i="5"/>
  <c r="H63" i="12"/>
  <c r="H32" i="12"/>
  <c r="X32" i="5"/>
  <c r="X82" i="5"/>
  <c r="H82" i="12"/>
  <c r="H78" i="12"/>
  <c r="X78" i="5"/>
  <c r="H18" i="12"/>
  <c r="X18" i="5"/>
  <c r="AG120" i="5"/>
  <c r="AG114" i="5"/>
  <c r="AG61" i="5"/>
  <c r="AG83" i="5"/>
  <c r="AG119" i="5"/>
  <c r="AG152" i="5"/>
  <c r="AG76" i="5"/>
  <c r="AG72" i="5"/>
  <c r="U72" i="5" l="1"/>
  <c r="U76" i="5"/>
  <c r="U152" i="5"/>
  <c r="U119" i="5"/>
  <c r="U83" i="5"/>
  <c r="U61" i="5"/>
  <c r="U114" i="5"/>
  <c r="U120" i="5"/>
  <c r="X17" i="5"/>
  <c r="X16" i="5"/>
  <c r="L18" i="5"/>
  <c r="Z18" i="5"/>
  <c r="AM18" i="5"/>
  <c r="I18" i="12"/>
  <c r="I18" i="5"/>
  <c r="I19" i="5" s="1"/>
  <c r="I20" i="5" s="1"/>
  <c r="I21" i="5" s="1"/>
  <c r="I22" i="5" s="1"/>
  <c r="AC18" i="5"/>
  <c r="X122" i="5"/>
  <c r="I124" i="12"/>
  <c r="AM124" i="5"/>
  <c r="X123" i="5"/>
  <c r="I124" i="5"/>
  <c r="I125" i="5" s="1"/>
  <c r="I126" i="5" s="1"/>
  <c r="I127" i="5" s="1"/>
  <c r="I128" i="5" s="1"/>
  <c r="I129" i="5" s="1"/>
  <c r="I130" i="5" s="1"/>
  <c r="I131" i="5" s="1"/>
  <c r="I132" i="5" s="1"/>
  <c r="I133" i="5" s="1"/>
  <c r="I134" i="5" s="1"/>
  <c r="I135" i="5" s="1"/>
  <c r="I136" i="5" s="1"/>
  <c r="I137" i="5" s="1"/>
  <c r="I138" i="5" s="1"/>
  <c r="I139" i="5" s="1"/>
  <c r="I140" i="5" s="1"/>
  <c r="I141" i="5" s="1"/>
  <c r="L124" i="5"/>
  <c r="Z124" i="5"/>
  <c r="AC124" i="5"/>
  <c r="I157" i="12"/>
  <c r="Z157" i="5"/>
  <c r="AM157" i="5"/>
  <c r="X156" i="5"/>
  <c r="I157" i="5"/>
  <c r="I158" i="5" s="1"/>
  <c r="I159" i="5" s="1"/>
  <c r="I160" i="5" s="1"/>
  <c r="I161" i="5" s="1"/>
  <c r="I162" i="5" s="1"/>
  <c r="L157" i="5"/>
  <c r="AC157" i="5"/>
  <c r="I53" i="12"/>
  <c r="Z53" i="5"/>
  <c r="L53" i="5"/>
  <c r="AM53" i="5"/>
  <c r="AC53" i="5"/>
  <c r="AM56" i="5"/>
  <c r="L56" i="5"/>
  <c r="I56" i="12"/>
  <c r="Z56" i="5"/>
  <c r="AC56" i="5"/>
  <c r="L86" i="5"/>
  <c r="I86" i="12"/>
  <c r="Z86" i="5"/>
  <c r="AM86" i="5"/>
  <c r="AC86" i="5"/>
  <c r="AM91" i="5"/>
  <c r="L91" i="5"/>
  <c r="I91" i="12"/>
  <c r="Z91" i="5"/>
  <c r="AC91" i="5"/>
  <c r="Z20" i="5"/>
  <c r="I20" i="12"/>
  <c r="L20" i="5"/>
  <c r="AM20" i="5"/>
  <c r="AC20" i="5"/>
  <c r="I141" i="12"/>
  <c r="L141" i="5"/>
  <c r="AM141" i="5"/>
  <c r="Z141" i="5"/>
  <c r="AC141" i="5"/>
  <c r="I44" i="12"/>
  <c r="Z44" i="5"/>
  <c r="L44" i="5"/>
  <c r="AM44" i="5"/>
  <c r="AC44" i="5"/>
  <c r="L49" i="5"/>
  <c r="I49" i="12"/>
  <c r="Z49" i="5"/>
  <c r="AM49" i="5"/>
  <c r="AC49" i="5"/>
  <c r="Z45" i="5"/>
  <c r="L45" i="5"/>
  <c r="AM45" i="5"/>
  <c r="I45" i="12"/>
  <c r="AC45" i="5"/>
  <c r="L60" i="5"/>
  <c r="Z60" i="5"/>
  <c r="I60" i="12"/>
  <c r="AM60" i="5"/>
  <c r="AC60" i="5"/>
  <c r="I21" i="12"/>
  <c r="L21" i="5"/>
  <c r="AM21" i="5"/>
  <c r="Z21" i="5"/>
  <c r="AC21" i="5"/>
  <c r="I134" i="12"/>
  <c r="Z134" i="5"/>
  <c r="AM134" i="5"/>
  <c r="L134" i="5"/>
  <c r="AC134" i="5"/>
  <c r="AM126" i="5"/>
  <c r="I126" i="12"/>
  <c r="L126" i="5"/>
  <c r="Z126" i="5"/>
  <c r="AC126" i="5"/>
  <c r="L75" i="5"/>
  <c r="Z75" i="5"/>
  <c r="I75" i="12"/>
  <c r="AM75" i="5"/>
  <c r="AC75" i="5"/>
  <c r="I149" i="12"/>
  <c r="Z149" i="5"/>
  <c r="L149" i="5"/>
  <c r="AM149" i="5"/>
  <c r="AC149" i="5"/>
  <c r="L148" i="5"/>
  <c r="AM148" i="5"/>
  <c r="I148" i="12"/>
  <c r="Z148" i="5"/>
  <c r="AC148" i="5"/>
  <c r="AM153" i="5"/>
  <c r="L153" i="5"/>
  <c r="I153" i="12"/>
  <c r="Z153" i="5"/>
  <c r="AC153" i="5"/>
  <c r="X142" i="5"/>
  <c r="I143" i="12"/>
  <c r="I143" i="5"/>
  <c r="I144" i="5" s="1"/>
  <c r="I145" i="5" s="1"/>
  <c r="Z143" i="5"/>
  <c r="AM143" i="5"/>
  <c r="L143" i="5"/>
  <c r="AC143" i="5"/>
  <c r="AM22" i="5"/>
  <c r="Z22" i="5"/>
  <c r="I22" i="12"/>
  <c r="L22" i="5"/>
  <c r="C22" i="6" s="1"/>
  <c r="AC22" i="5"/>
  <c r="Z108" i="5"/>
  <c r="I108" i="12"/>
  <c r="AM108" i="5"/>
  <c r="L108" i="5"/>
  <c r="AC108" i="5"/>
  <c r="Z159" i="5"/>
  <c r="I159" i="12"/>
  <c r="L159" i="5"/>
  <c r="AM159" i="5"/>
  <c r="AC159" i="5"/>
  <c r="I113" i="12"/>
  <c r="AM113" i="5"/>
  <c r="L113" i="5"/>
  <c r="Z113" i="5"/>
  <c r="AC113" i="5"/>
  <c r="Z68" i="5"/>
  <c r="AM68" i="5"/>
  <c r="X67" i="5"/>
  <c r="I68" i="12"/>
  <c r="L68" i="5"/>
  <c r="AC68" i="5"/>
  <c r="Z115" i="5"/>
  <c r="L115" i="5"/>
  <c r="C115" i="6" s="1"/>
  <c r="AM115" i="5"/>
  <c r="I115" i="12"/>
  <c r="AC115" i="5"/>
  <c r="Z161" i="5"/>
  <c r="L161" i="5"/>
  <c r="I161" i="12"/>
  <c r="AM161" i="5"/>
  <c r="AC161" i="5"/>
  <c r="AM82" i="5"/>
  <c r="Z82" i="5"/>
  <c r="L82" i="5"/>
  <c r="I82" i="5"/>
  <c r="I82" i="12"/>
  <c r="AC82" i="5"/>
  <c r="Z63" i="5"/>
  <c r="X62" i="5"/>
  <c r="I63" i="12"/>
  <c r="AM63" i="5"/>
  <c r="I63" i="5"/>
  <c r="I64" i="5" s="1"/>
  <c r="I65" i="5" s="1"/>
  <c r="I66" i="5" s="1"/>
  <c r="I67" i="5" s="1"/>
  <c r="I68" i="5" s="1"/>
  <c r="I69" i="5" s="1"/>
  <c r="L63" i="5"/>
  <c r="AC63" i="5"/>
  <c r="AM132" i="5"/>
  <c r="L132" i="5"/>
  <c r="Z132" i="5"/>
  <c r="I132" i="12"/>
  <c r="AC132" i="5"/>
  <c r="L125" i="5"/>
  <c r="Z125" i="5"/>
  <c r="AM125" i="5"/>
  <c r="I125" i="12"/>
  <c r="AC125" i="5"/>
  <c r="I100" i="12"/>
  <c r="Z100" i="5"/>
  <c r="L100" i="5"/>
  <c r="AM100" i="5"/>
  <c r="AC100" i="5"/>
  <c r="I103" i="12"/>
  <c r="L103" i="5"/>
  <c r="Z103" i="5"/>
  <c r="AM103" i="5"/>
  <c r="AC103" i="5"/>
  <c r="AM31" i="5"/>
  <c r="Z31" i="5"/>
  <c r="L31" i="5"/>
  <c r="I31" i="12"/>
  <c r="AC31" i="5"/>
  <c r="L135" i="5"/>
  <c r="I135" i="12"/>
  <c r="Z135" i="5"/>
  <c r="AM135" i="5"/>
  <c r="AC135" i="5"/>
  <c r="I39" i="12"/>
  <c r="AM39" i="5"/>
  <c r="L39" i="5"/>
  <c r="Z39" i="5"/>
  <c r="AC39" i="5"/>
  <c r="X33" i="5"/>
  <c r="I34" i="12"/>
  <c r="Z34" i="5"/>
  <c r="AM34" i="5"/>
  <c r="L34" i="5"/>
  <c r="AC34" i="5"/>
  <c r="AM139" i="5"/>
  <c r="I139" i="12"/>
  <c r="Z139" i="5"/>
  <c r="L139" i="5"/>
  <c r="AC139" i="5"/>
  <c r="I121" i="12"/>
  <c r="L121" i="5"/>
  <c r="C121" i="6" s="1"/>
  <c r="AM121" i="5"/>
  <c r="Z121" i="5"/>
  <c r="AC121" i="5"/>
  <c r="Z59" i="5"/>
  <c r="I59" i="12"/>
  <c r="AM59" i="5"/>
  <c r="L59" i="5"/>
  <c r="I59" i="5"/>
  <c r="I60" i="5" s="1"/>
  <c r="AC59" i="5"/>
  <c r="Z94" i="5"/>
  <c r="AM94" i="5"/>
  <c r="I94" i="12"/>
  <c r="L94" i="5"/>
  <c r="AC94" i="5"/>
  <c r="L64" i="5"/>
  <c r="I64" i="12"/>
  <c r="AM64" i="5"/>
  <c r="Z64" i="5"/>
  <c r="AC64" i="5"/>
  <c r="L73" i="5"/>
  <c r="I73" i="12"/>
  <c r="AM73" i="5"/>
  <c r="Z73" i="5"/>
  <c r="AC73" i="5"/>
  <c r="Z144" i="5"/>
  <c r="L144" i="5"/>
  <c r="I144" i="12"/>
  <c r="AM144" i="5"/>
  <c r="AC144" i="5"/>
  <c r="Z37" i="5"/>
  <c r="I37" i="12"/>
  <c r="AM37" i="5"/>
  <c r="L37" i="5"/>
  <c r="AC37" i="5"/>
  <c r="Z90" i="5"/>
  <c r="AM90" i="5"/>
  <c r="I90" i="12"/>
  <c r="L90" i="5"/>
  <c r="AC90" i="5"/>
  <c r="AM74" i="5"/>
  <c r="L74" i="5"/>
  <c r="I74" i="12"/>
  <c r="Z74" i="5"/>
  <c r="AC74" i="5"/>
  <c r="X23" i="5"/>
  <c r="I24" i="12"/>
  <c r="L24" i="5"/>
  <c r="AM24" i="5"/>
  <c r="Z24" i="5"/>
  <c r="I24" i="5"/>
  <c r="I25" i="5" s="1"/>
  <c r="I26" i="5" s="1"/>
  <c r="AC24" i="5"/>
  <c r="I118" i="5"/>
  <c r="L118" i="5"/>
  <c r="I118" i="12"/>
  <c r="AM118" i="5"/>
  <c r="Z118" i="5"/>
  <c r="AC118" i="5"/>
  <c r="I92" i="12"/>
  <c r="Z92" i="5"/>
  <c r="L92" i="5"/>
  <c r="AM92" i="5"/>
  <c r="AC92" i="5"/>
  <c r="AM85" i="5"/>
  <c r="I85" i="12"/>
  <c r="X84" i="5"/>
  <c r="I85" i="5"/>
  <c r="I86" i="5" s="1"/>
  <c r="I87" i="5" s="1"/>
  <c r="I88" i="5" s="1"/>
  <c r="I89" i="5" s="1"/>
  <c r="I90" i="5" s="1"/>
  <c r="I91" i="5" s="1"/>
  <c r="I92" i="5" s="1"/>
  <c r="I93" i="5" s="1"/>
  <c r="I94" i="5" s="1"/>
  <c r="I95" i="5" s="1"/>
  <c r="I96" i="5" s="1"/>
  <c r="I97" i="5" s="1"/>
  <c r="Z85" i="5"/>
  <c r="L85" i="5"/>
  <c r="AC85" i="5"/>
  <c r="I97" i="12"/>
  <c r="AM97" i="5"/>
  <c r="L97" i="5"/>
  <c r="Z97" i="5"/>
  <c r="AC97" i="5"/>
  <c r="AM158" i="5"/>
  <c r="L158" i="5"/>
  <c r="Z158" i="5"/>
  <c r="I158" i="12"/>
  <c r="AC158" i="5"/>
  <c r="X77" i="5"/>
  <c r="AM78" i="5"/>
  <c r="Z78" i="5"/>
  <c r="I78" i="5"/>
  <c r="I79" i="5" s="1"/>
  <c r="L78" i="5"/>
  <c r="I78" i="12"/>
  <c r="AC78" i="5"/>
  <c r="L32" i="5"/>
  <c r="Z32" i="5"/>
  <c r="AM32" i="5"/>
  <c r="I32" i="12"/>
  <c r="AC32" i="5"/>
  <c r="AM36" i="5"/>
  <c r="L36" i="5"/>
  <c r="Z36" i="5"/>
  <c r="I36" i="12"/>
  <c r="AC36" i="5"/>
  <c r="I57" i="12"/>
  <c r="Z57" i="5"/>
  <c r="AM57" i="5"/>
  <c r="L57" i="5"/>
  <c r="AC57" i="5"/>
  <c r="AM54" i="5"/>
  <c r="I54" i="12"/>
  <c r="L54" i="5"/>
  <c r="Z54" i="5"/>
  <c r="AC54" i="5"/>
  <c r="Z112" i="5"/>
  <c r="AM112" i="5"/>
  <c r="L112" i="5"/>
  <c r="I112" i="12"/>
  <c r="AC112" i="5"/>
  <c r="L30" i="5"/>
  <c r="I30" i="12"/>
  <c r="AM30" i="5"/>
  <c r="Z30" i="5"/>
  <c r="AC30" i="5"/>
  <c r="L43" i="5"/>
  <c r="Z43" i="5"/>
  <c r="AM43" i="5"/>
  <c r="I43" i="12"/>
  <c r="AC43" i="5"/>
  <c r="I99" i="5"/>
  <c r="I100" i="5" s="1"/>
  <c r="I101" i="5" s="1"/>
  <c r="I102" i="5" s="1"/>
  <c r="I103" i="5" s="1"/>
  <c r="I104" i="5" s="1"/>
  <c r="I105" i="5" s="1"/>
  <c r="I106" i="5" s="1"/>
  <c r="I107" i="5" s="1"/>
  <c r="I108" i="5" s="1"/>
  <c r="I109" i="5" s="1"/>
  <c r="I110" i="5" s="1"/>
  <c r="I111" i="5" s="1"/>
  <c r="I112" i="5" s="1"/>
  <c r="I113" i="5" s="1"/>
  <c r="I99" i="12"/>
  <c r="Z99" i="5"/>
  <c r="AM99" i="5"/>
  <c r="L99" i="5"/>
  <c r="AC99" i="5"/>
  <c r="I102" i="12"/>
  <c r="L102" i="5"/>
  <c r="AM102" i="5"/>
  <c r="Z102" i="5"/>
  <c r="AC102" i="5"/>
  <c r="AM130" i="5"/>
  <c r="I130" i="12"/>
  <c r="L130" i="5"/>
  <c r="Z130" i="5"/>
  <c r="AC130" i="5"/>
  <c r="I38" i="12"/>
  <c r="AM38" i="5"/>
  <c r="Z38" i="5"/>
  <c r="L38" i="5"/>
  <c r="AC38" i="5"/>
  <c r="Z47" i="5"/>
  <c r="L47" i="5"/>
  <c r="AM47" i="5"/>
  <c r="X46" i="5"/>
  <c r="I47" i="5"/>
  <c r="I48" i="5" s="1"/>
  <c r="I49" i="5" s="1"/>
  <c r="I50" i="5" s="1"/>
  <c r="I47" i="12"/>
  <c r="AC47" i="5"/>
  <c r="AM29" i="5"/>
  <c r="I29" i="12"/>
  <c r="L29" i="5"/>
  <c r="Z29" i="5"/>
  <c r="I29" i="5"/>
  <c r="I30" i="5" s="1"/>
  <c r="I31" i="5" s="1"/>
  <c r="I32" i="5" s="1"/>
  <c r="I33" i="5" s="1"/>
  <c r="I34" i="5" s="1"/>
  <c r="I35" i="5" s="1"/>
  <c r="I36" i="5" s="1"/>
  <c r="I37" i="5" s="1"/>
  <c r="I38" i="5" s="1"/>
  <c r="I39" i="5" s="1"/>
  <c r="X28" i="5"/>
  <c r="X27" i="5"/>
  <c r="AC29" i="5"/>
  <c r="I104" i="12"/>
  <c r="L104" i="5"/>
  <c r="Z104" i="5"/>
  <c r="AM104" i="5"/>
  <c r="AC104" i="5"/>
  <c r="L128" i="5"/>
  <c r="X127" i="5"/>
  <c r="AM128" i="5"/>
  <c r="Z128" i="5"/>
  <c r="I128" i="12"/>
  <c r="AC128" i="5"/>
  <c r="Z101" i="5"/>
  <c r="AM101" i="5"/>
  <c r="I101" i="12"/>
  <c r="L101" i="5"/>
  <c r="AC101" i="5"/>
  <c r="L35" i="5"/>
  <c r="AM35" i="5"/>
  <c r="Z35" i="5"/>
  <c r="I35" i="12"/>
  <c r="AC35" i="5"/>
  <c r="I69" i="12"/>
  <c r="AM69" i="5"/>
  <c r="Z69" i="5"/>
  <c r="L69" i="5"/>
  <c r="AC69" i="5"/>
  <c r="AM26" i="5"/>
  <c r="I26" i="12"/>
  <c r="L26" i="5"/>
  <c r="Z26" i="5"/>
  <c r="AC26" i="5"/>
  <c r="I19" i="12"/>
  <c r="Z19" i="5"/>
  <c r="L19" i="5"/>
  <c r="AM19" i="5"/>
  <c r="AC19" i="5"/>
  <c r="I110" i="12"/>
  <c r="Z110" i="5"/>
  <c r="AM110" i="5"/>
  <c r="L110" i="5"/>
  <c r="AC110" i="5"/>
  <c r="Z25" i="5"/>
  <c r="AM25" i="5"/>
  <c r="I25" i="12"/>
  <c r="L25" i="5"/>
  <c r="AC25" i="5"/>
  <c r="I107" i="12"/>
  <c r="L107" i="5"/>
  <c r="AM107" i="5"/>
  <c r="Z107" i="5"/>
  <c r="AC107" i="5"/>
  <c r="AM106" i="5"/>
  <c r="L106" i="5"/>
  <c r="Z106" i="5"/>
  <c r="I106" i="12"/>
  <c r="AC106" i="5"/>
  <c r="Z48" i="5"/>
  <c r="AM48" i="5"/>
  <c r="I48" i="12"/>
  <c r="L48" i="5"/>
  <c r="AC48" i="5"/>
  <c r="I136" i="12"/>
  <c r="L136" i="5"/>
  <c r="Z136" i="5"/>
  <c r="AM136" i="5"/>
  <c r="AC136" i="5"/>
  <c r="I131" i="12"/>
  <c r="Z131" i="5"/>
  <c r="L131" i="5"/>
  <c r="AM131" i="5"/>
  <c r="AC131" i="5"/>
  <c r="X163" i="5"/>
  <c r="I164" i="5"/>
  <c r="I164" i="12"/>
  <c r="AM164" i="5"/>
  <c r="L164" i="5"/>
  <c r="Z164" i="5"/>
  <c r="AC164" i="5"/>
  <c r="I138" i="12"/>
  <c r="L138" i="5"/>
  <c r="AM138" i="5"/>
  <c r="Z138" i="5"/>
  <c r="AC138" i="5"/>
  <c r="AM155" i="5"/>
  <c r="L155" i="5"/>
  <c r="C155" i="6" s="1"/>
  <c r="Z155" i="5"/>
  <c r="I155" i="12"/>
  <c r="AC155" i="5"/>
  <c r="L66" i="5"/>
  <c r="Z66" i="5"/>
  <c r="I66" i="12"/>
  <c r="AM66" i="5"/>
  <c r="AC66" i="5"/>
  <c r="AM93" i="5"/>
  <c r="I93" i="12"/>
  <c r="Z93" i="5"/>
  <c r="L93" i="5"/>
  <c r="AC93" i="5"/>
  <c r="Z89" i="5"/>
  <c r="L89" i="5"/>
  <c r="I89" i="12"/>
  <c r="AM89" i="5"/>
  <c r="AC89" i="5"/>
  <c r="L52" i="5"/>
  <c r="Z52" i="5"/>
  <c r="I52" i="12"/>
  <c r="AM52" i="5"/>
  <c r="X51" i="5"/>
  <c r="I52" i="5"/>
  <c r="I53" i="5" s="1"/>
  <c r="I54" i="5" s="1"/>
  <c r="I55" i="5" s="1"/>
  <c r="I56" i="5" s="1"/>
  <c r="I57" i="5" s="1"/>
  <c r="AC52" i="5"/>
  <c r="Z96" i="5"/>
  <c r="AM96" i="5"/>
  <c r="I96" i="12"/>
  <c r="L96" i="5"/>
  <c r="AC96" i="5"/>
  <c r="AM129" i="5"/>
  <c r="I129" i="12"/>
  <c r="Z129" i="5"/>
  <c r="L129" i="5"/>
  <c r="AC129" i="5"/>
  <c r="L147" i="5"/>
  <c r="Z147" i="5"/>
  <c r="X145" i="5"/>
  <c r="I147" i="12"/>
  <c r="AM147" i="5"/>
  <c r="X146" i="5"/>
  <c r="I147" i="5"/>
  <c r="I148" i="5" s="1"/>
  <c r="I149" i="5" s="1"/>
  <c r="I150" i="5" s="1"/>
  <c r="AC147" i="5"/>
  <c r="L87" i="5"/>
  <c r="AM87" i="5"/>
  <c r="Z87" i="5"/>
  <c r="I87" i="12"/>
  <c r="AC87" i="5"/>
  <c r="L162" i="5"/>
  <c r="Z162" i="5"/>
  <c r="I162" i="12"/>
  <c r="AM162" i="5"/>
  <c r="AC162" i="5"/>
  <c r="AM95" i="5"/>
  <c r="L95" i="5"/>
  <c r="Z95" i="5"/>
  <c r="I95" i="12"/>
  <c r="AC95" i="5"/>
  <c r="I105" i="12"/>
  <c r="Z105" i="5"/>
  <c r="L105" i="5"/>
  <c r="AM105" i="5"/>
  <c r="AC105" i="5"/>
  <c r="Z79" i="5"/>
  <c r="I79" i="12"/>
  <c r="L79" i="5"/>
  <c r="AM79" i="5"/>
  <c r="AC79" i="5"/>
  <c r="AM137" i="5"/>
  <c r="L137" i="5"/>
  <c r="I137" i="12"/>
  <c r="Z137" i="5"/>
  <c r="AC137" i="5"/>
  <c r="L133" i="5"/>
  <c r="Z133" i="5"/>
  <c r="I133" i="12"/>
  <c r="AM133" i="5"/>
  <c r="AC133" i="5"/>
  <c r="AM140" i="5"/>
  <c r="L140" i="5"/>
  <c r="I140" i="12"/>
  <c r="Z140" i="5"/>
  <c r="AC140" i="5"/>
  <c r="L42" i="5"/>
  <c r="X41" i="5"/>
  <c r="I42" i="5"/>
  <c r="I43" i="5" s="1"/>
  <c r="I44" i="5" s="1"/>
  <c r="I45" i="5" s="1"/>
  <c r="X40" i="5"/>
  <c r="I42" i="12"/>
  <c r="Z42" i="5"/>
  <c r="AM42" i="5"/>
  <c r="AC42" i="5"/>
  <c r="AM55" i="5"/>
  <c r="Z55" i="5"/>
  <c r="L55" i="5"/>
  <c r="I55" i="12"/>
  <c r="AC55" i="5"/>
  <c r="I88" i="12"/>
  <c r="L88" i="5"/>
  <c r="Z88" i="5"/>
  <c r="AM88" i="5"/>
  <c r="AC88" i="5"/>
  <c r="I109" i="12"/>
  <c r="Z109" i="5"/>
  <c r="L109" i="5"/>
  <c r="AM109" i="5"/>
  <c r="AC109" i="5"/>
  <c r="I160" i="12"/>
  <c r="Z160" i="5"/>
  <c r="L160" i="5"/>
  <c r="AM160" i="5"/>
  <c r="AC160" i="5"/>
  <c r="Z65" i="5"/>
  <c r="AM65" i="5"/>
  <c r="I65" i="12"/>
  <c r="L65" i="5"/>
  <c r="AC65" i="5"/>
  <c r="L111" i="5"/>
  <c r="I111" i="12"/>
  <c r="AM111" i="5"/>
  <c r="Z111" i="5"/>
  <c r="AC111" i="5"/>
  <c r="I154" i="12"/>
  <c r="L154" i="5"/>
  <c r="AM154" i="5"/>
  <c r="Z154" i="5"/>
  <c r="AC154" i="5"/>
  <c r="R110" i="8" l="1"/>
  <c r="AC112" i="8" s="1"/>
  <c r="AC110" i="8" s="1"/>
  <c r="T112" i="8"/>
  <c r="T110" i="8" s="1"/>
  <c r="AA112" i="8"/>
  <c r="AA110" i="8" s="1"/>
  <c r="C88" i="12"/>
  <c r="O88" i="12"/>
  <c r="M88" i="12"/>
  <c r="AO88" i="12"/>
  <c r="Z41" i="5"/>
  <c r="I41" i="12"/>
  <c r="L41" i="5"/>
  <c r="AC41" i="5"/>
  <c r="AM41" i="5"/>
  <c r="R35" i="8"/>
  <c r="C162" i="6"/>
  <c r="O162" i="5"/>
  <c r="AB89" i="5"/>
  <c r="AO93" i="12"/>
  <c r="M93" i="12"/>
  <c r="C93" i="12"/>
  <c r="O93" i="12"/>
  <c r="M66" i="12"/>
  <c r="C66" i="12"/>
  <c r="O66" i="12"/>
  <c r="AO66" i="12"/>
  <c r="C138" i="6"/>
  <c r="O138" i="5"/>
  <c r="C164" i="6"/>
  <c r="O164" i="5"/>
  <c r="AB131" i="5"/>
  <c r="AB101" i="5"/>
  <c r="AB29" i="5"/>
  <c r="O102" i="5"/>
  <c r="C102" i="6"/>
  <c r="AO160" i="12"/>
  <c r="M160" i="12"/>
  <c r="O160" i="12"/>
  <c r="C160" i="12"/>
  <c r="AB109" i="5"/>
  <c r="AB88" i="5"/>
  <c r="M55" i="12"/>
  <c r="O55" i="12"/>
  <c r="C55" i="12"/>
  <c r="AO55" i="12"/>
  <c r="Z40" i="5"/>
  <c r="R32" i="8"/>
  <c r="I40" i="12"/>
  <c r="AC40" i="5"/>
  <c r="AM40" i="5"/>
  <c r="O16" i="11"/>
  <c r="L40" i="5"/>
  <c r="O95" i="5"/>
  <c r="C95" i="6"/>
  <c r="O162" i="12"/>
  <c r="AO162" i="12"/>
  <c r="C162" i="12"/>
  <c r="M162" i="12"/>
  <c r="M87" i="12"/>
  <c r="O87" i="12"/>
  <c r="C87" i="12"/>
  <c r="AO87" i="12"/>
  <c r="AO154" i="12"/>
  <c r="O154" i="12"/>
  <c r="M154" i="12"/>
  <c r="C154" i="12"/>
  <c r="AO111" i="12"/>
  <c r="C111" i="12"/>
  <c r="M111" i="12"/>
  <c r="O111" i="12"/>
  <c r="AO65" i="12"/>
  <c r="C65" i="12"/>
  <c r="M65" i="12"/>
  <c r="O65" i="12"/>
  <c r="C109" i="12"/>
  <c r="AO109" i="12"/>
  <c r="O109" i="12"/>
  <c r="M109" i="12"/>
  <c r="C88" i="6"/>
  <c r="O88" i="5"/>
  <c r="C55" i="6"/>
  <c r="O55" i="5"/>
  <c r="AB140" i="5"/>
  <c r="C133" i="6"/>
  <c r="O133" i="5"/>
  <c r="O137" i="5"/>
  <c r="C137" i="6"/>
  <c r="C79" i="6"/>
  <c r="O79" i="5"/>
  <c r="AB162" i="5"/>
  <c r="AB87" i="5"/>
  <c r="R95" i="8"/>
  <c r="Z145" i="5"/>
  <c r="I145" i="12"/>
  <c r="O22" i="11"/>
  <c r="AC145" i="5"/>
  <c r="AM145" i="5"/>
  <c r="L145" i="5"/>
  <c r="O129" i="5"/>
  <c r="C129" i="6"/>
  <c r="AB96" i="5"/>
  <c r="L51" i="5"/>
  <c r="Z51" i="5"/>
  <c r="I51" i="12"/>
  <c r="AC51" i="5"/>
  <c r="AM51" i="5"/>
  <c r="R44" i="8"/>
  <c r="O52" i="5"/>
  <c r="C52" i="6"/>
  <c r="O89" i="5"/>
  <c r="C89" i="6"/>
  <c r="AB93" i="5"/>
  <c r="AB164" i="5"/>
  <c r="AB163" i="5" s="1"/>
  <c r="C131" i="6"/>
  <c r="O131" i="5"/>
  <c r="AB48" i="5"/>
  <c r="C106" i="6"/>
  <c r="O106" i="5"/>
  <c r="O25" i="5"/>
  <c r="C25" i="6"/>
  <c r="C110" i="12"/>
  <c r="AO110" i="12"/>
  <c r="O110" i="12"/>
  <c r="M110" i="12"/>
  <c r="AB19" i="5"/>
  <c r="C26" i="6"/>
  <c r="O26" i="5"/>
  <c r="C69" i="6"/>
  <c r="O69" i="5"/>
  <c r="O35" i="5"/>
  <c r="C35" i="6"/>
  <c r="AB128" i="5"/>
  <c r="C104" i="12"/>
  <c r="O104" i="12"/>
  <c r="AO104" i="12"/>
  <c r="M104" i="12"/>
  <c r="R38" i="8"/>
  <c r="AM46" i="5"/>
  <c r="I46" i="12"/>
  <c r="L46" i="5"/>
  <c r="AC46" i="5"/>
  <c r="Z46" i="5"/>
  <c r="O38" i="12"/>
  <c r="AO38" i="12"/>
  <c r="M38" i="12"/>
  <c r="C38" i="12"/>
  <c r="M130" i="12"/>
  <c r="C130" i="12"/>
  <c r="O130" i="12"/>
  <c r="AO130" i="12"/>
  <c r="O99" i="12"/>
  <c r="C99" i="12"/>
  <c r="AO99" i="12"/>
  <c r="M99" i="12"/>
  <c r="AB30" i="5"/>
  <c r="AB112" i="5"/>
  <c r="M54" i="12"/>
  <c r="O54" i="12"/>
  <c r="AO54" i="12"/>
  <c r="C54" i="12"/>
  <c r="AO36" i="12"/>
  <c r="C36" i="12"/>
  <c r="M36" i="12"/>
  <c r="O36" i="12"/>
  <c r="C32" i="6"/>
  <c r="O32" i="5"/>
  <c r="AB85" i="5"/>
  <c r="AB92" i="5"/>
  <c r="C118" i="6"/>
  <c r="O118" i="5"/>
  <c r="AB24" i="5"/>
  <c r="AM23" i="5"/>
  <c r="L23" i="5"/>
  <c r="R20" i="8"/>
  <c r="Z23" i="5"/>
  <c r="I23" i="12"/>
  <c r="AC23" i="5"/>
  <c r="M74" i="12"/>
  <c r="AO74" i="12"/>
  <c r="C74" i="12"/>
  <c r="O74" i="12"/>
  <c r="C90" i="6"/>
  <c r="O90" i="5"/>
  <c r="AB37" i="5"/>
  <c r="C144" i="6"/>
  <c r="O144" i="5"/>
  <c r="AB64" i="5"/>
  <c r="AB94" i="5"/>
  <c r="O59" i="5"/>
  <c r="C59" i="6"/>
  <c r="M121" i="12"/>
  <c r="AO121" i="12"/>
  <c r="C121" i="12"/>
  <c r="O121" i="12"/>
  <c r="C139" i="12"/>
  <c r="M139" i="12"/>
  <c r="AO139" i="12"/>
  <c r="O139" i="12"/>
  <c r="AO39" i="12"/>
  <c r="M39" i="12"/>
  <c r="C39" i="12"/>
  <c r="O39" i="12"/>
  <c r="C135" i="12"/>
  <c r="AO135" i="12"/>
  <c r="O135" i="12"/>
  <c r="M135" i="12"/>
  <c r="O31" i="5"/>
  <c r="C31" i="6"/>
  <c r="O100" i="12"/>
  <c r="AO100" i="12"/>
  <c r="C100" i="12"/>
  <c r="M100" i="12"/>
  <c r="AB125" i="5"/>
  <c r="AB132" i="5"/>
  <c r="C63" i="6"/>
  <c r="O63" i="5"/>
  <c r="Z62" i="5"/>
  <c r="AM62" i="5"/>
  <c r="I62" i="12"/>
  <c r="L62" i="5"/>
  <c r="R50" i="8"/>
  <c r="AC62" i="5"/>
  <c r="AB82" i="5"/>
  <c r="M161" i="12"/>
  <c r="O161" i="12"/>
  <c r="C161" i="12"/>
  <c r="AO161" i="12"/>
  <c r="C115" i="12"/>
  <c r="AO115" i="12"/>
  <c r="O115" i="12"/>
  <c r="M115" i="12"/>
  <c r="O113" i="5"/>
  <c r="C113" i="6"/>
  <c r="AB108" i="5"/>
  <c r="AB22" i="5"/>
  <c r="L142" i="5"/>
  <c r="AM142" i="5"/>
  <c r="AC142" i="5"/>
  <c r="Z142" i="5"/>
  <c r="I142" i="12"/>
  <c r="R92" i="8"/>
  <c r="M153" i="12"/>
  <c r="AO153" i="12"/>
  <c r="O153" i="12"/>
  <c r="C153" i="12"/>
  <c r="AB148" i="5"/>
  <c r="AO149" i="12"/>
  <c r="O149" i="12"/>
  <c r="C149" i="12"/>
  <c r="M149" i="12"/>
  <c r="C75" i="12"/>
  <c r="AO75" i="12"/>
  <c r="M75" i="12"/>
  <c r="O75" i="12"/>
  <c r="AB126" i="5"/>
  <c r="M134" i="12"/>
  <c r="AO134" i="12"/>
  <c r="C134" i="12"/>
  <c r="O134" i="12"/>
  <c r="C21" i="6"/>
  <c r="O21" i="5"/>
  <c r="C60" i="12"/>
  <c r="O60" i="12"/>
  <c r="M60" i="12"/>
  <c r="AO60" i="12"/>
  <c r="O45" i="12"/>
  <c r="AO45" i="12"/>
  <c r="C45" i="12"/>
  <c r="M45" i="12"/>
  <c r="O49" i="5"/>
  <c r="C49" i="6"/>
  <c r="AB44" i="5"/>
  <c r="AO86" i="12"/>
  <c r="C86" i="12"/>
  <c r="M86" i="12"/>
  <c r="O86" i="12"/>
  <c r="C56" i="12"/>
  <c r="AO56" i="12"/>
  <c r="O56" i="12"/>
  <c r="M56" i="12"/>
  <c r="AB124" i="5"/>
  <c r="AB18" i="5"/>
  <c r="W120" i="5"/>
  <c r="AN120" i="5"/>
  <c r="W119" i="5"/>
  <c r="AN119" i="5"/>
  <c r="AB43" i="5"/>
  <c r="M112" i="12"/>
  <c r="AO112" i="12"/>
  <c r="O112" i="12"/>
  <c r="C112" i="12"/>
  <c r="AB57" i="5"/>
  <c r="AB36" i="5"/>
  <c r="AO32" i="12"/>
  <c r="M32" i="12"/>
  <c r="O32" i="12"/>
  <c r="C32" i="12"/>
  <c r="AB78" i="5"/>
  <c r="O158" i="12"/>
  <c r="C158" i="12"/>
  <c r="M158" i="12"/>
  <c r="AO158" i="12"/>
  <c r="C97" i="12"/>
  <c r="O97" i="12"/>
  <c r="M97" i="12"/>
  <c r="AO97" i="12"/>
  <c r="AO92" i="12"/>
  <c r="C92" i="12"/>
  <c r="O92" i="12"/>
  <c r="M92" i="12"/>
  <c r="AB118" i="5"/>
  <c r="C74" i="6"/>
  <c r="C90" i="12"/>
  <c r="O90" i="12"/>
  <c r="M90" i="12"/>
  <c r="AO90" i="12"/>
  <c r="O37" i="5"/>
  <c r="C37" i="6"/>
  <c r="AB144" i="5"/>
  <c r="C73" i="12"/>
  <c r="M73" i="12"/>
  <c r="O73" i="12"/>
  <c r="AO73" i="12"/>
  <c r="O94" i="5"/>
  <c r="C94" i="6"/>
  <c r="AB121" i="5"/>
  <c r="AB34" i="5"/>
  <c r="AB39" i="5"/>
  <c r="C135" i="6"/>
  <c r="O135" i="5"/>
  <c r="AB31" i="5"/>
  <c r="AB103" i="5"/>
  <c r="O125" i="5"/>
  <c r="C125" i="6"/>
  <c r="C132" i="6"/>
  <c r="O132" i="5"/>
  <c r="AB63" i="5"/>
  <c r="O82" i="12"/>
  <c r="AO82" i="12"/>
  <c r="C82" i="12"/>
  <c r="M82" i="12"/>
  <c r="C161" i="6"/>
  <c r="O161" i="5"/>
  <c r="O68" i="5"/>
  <c r="C68" i="6"/>
  <c r="AB68" i="5"/>
  <c r="C159" i="6"/>
  <c r="O159" i="5"/>
  <c r="O108" i="5"/>
  <c r="C108" i="6"/>
  <c r="AB143" i="5"/>
  <c r="AB142" i="5" s="1"/>
  <c r="C153" i="6"/>
  <c r="M148" i="12"/>
  <c r="AO148" i="12"/>
  <c r="O148" i="12"/>
  <c r="C148" i="12"/>
  <c r="AB75" i="5"/>
  <c r="O126" i="5"/>
  <c r="C126" i="6"/>
  <c r="O134" i="5"/>
  <c r="C134" i="6"/>
  <c r="C21" i="12"/>
  <c r="O21" i="12"/>
  <c r="AO21" i="12"/>
  <c r="M21" i="12"/>
  <c r="AB60" i="5"/>
  <c r="O44" i="12"/>
  <c r="AO44" i="12"/>
  <c r="M44" i="12"/>
  <c r="C44" i="12"/>
  <c r="O141" i="5"/>
  <c r="C141" i="6"/>
  <c r="C20" i="6"/>
  <c r="O20" i="5"/>
  <c r="AB91" i="5"/>
  <c r="O86" i="5"/>
  <c r="C86" i="6"/>
  <c r="O56" i="5"/>
  <c r="C56" i="6"/>
  <c r="O53" i="5"/>
  <c r="C53" i="6"/>
  <c r="O157" i="5"/>
  <c r="C157" i="6"/>
  <c r="AB157" i="5"/>
  <c r="C124" i="6"/>
  <c r="O124" i="5"/>
  <c r="O124" i="12"/>
  <c r="M124" i="12"/>
  <c r="AO124" i="12"/>
  <c r="C124" i="12"/>
  <c r="O22" i="5"/>
  <c r="O18" i="5"/>
  <c r="C18" i="6"/>
  <c r="AN114" i="5"/>
  <c r="W114" i="5"/>
  <c r="AN152" i="5"/>
  <c r="W152" i="5"/>
  <c r="AB154" i="5"/>
  <c r="O111" i="5"/>
  <c r="C111" i="6"/>
  <c r="C160" i="6"/>
  <c r="O160" i="5"/>
  <c r="AB55" i="5"/>
  <c r="C79" i="12"/>
  <c r="M79" i="12"/>
  <c r="O79" i="12"/>
  <c r="AO79" i="12"/>
  <c r="C105" i="6"/>
  <c r="O105" i="5"/>
  <c r="M95" i="12"/>
  <c r="O95" i="12"/>
  <c r="AO95" i="12"/>
  <c r="C95" i="12"/>
  <c r="AB147" i="5"/>
  <c r="C110" i="6"/>
  <c r="O110" i="5"/>
  <c r="AO19" i="12"/>
  <c r="C19" i="12"/>
  <c r="M19" i="12"/>
  <c r="O19" i="12"/>
  <c r="M26" i="12"/>
  <c r="AO26" i="12"/>
  <c r="O26" i="12"/>
  <c r="C26" i="12"/>
  <c r="C99" i="6"/>
  <c r="O99" i="5"/>
  <c r="AB111" i="5"/>
  <c r="AB65" i="5"/>
  <c r="AB160" i="5"/>
  <c r="C109" i="6"/>
  <c r="O109" i="5"/>
  <c r="AO42" i="12"/>
  <c r="C42" i="12"/>
  <c r="O42" i="12"/>
  <c r="M42" i="12"/>
  <c r="O42" i="5"/>
  <c r="C42" i="6"/>
  <c r="C140" i="6"/>
  <c r="O140" i="5"/>
  <c r="M133" i="12"/>
  <c r="AO133" i="12"/>
  <c r="O133" i="12"/>
  <c r="C133" i="12"/>
  <c r="AB137" i="5"/>
  <c r="AB79" i="5"/>
  <c r="AB105" i="5"/>
  <c r="AB95" i="5"/>
  <c r="C87" i="6"/>
  <c r="O87" i="5"/>
  <c r="C147" i="6"/>
  <c r="O147" i="5"/>
  <c r="M129" i="12"/>
  <c r="AO129" i="12"/>
  <c r="O129" i="12"/>
  <c r="C129" i="12"/>
  <c r="C96" i="12"/>
  <c r="AO96" i="12"/>
  <c r="M96" i="12"/>
  <c r="O96" i="12"/>
  <c r="O52" i="12"/>
  <c r="C52" i="12"/>
  <c r="AO52" i="12"/>
  <c r="M52" i="12"/>
  <c r="AB66" i="5"/>
  <c r="C155" i="12"/>
  <c r="M155" i="12"/>
  <c r="AO155" i="12"/>
  <c r="O155" i="12"/>
  <c r="M138" i="12"/>
  <c r="C138" i="12"/>
  <c r="AO138" i="12"/>
  <c r="O138" i="12"/>
  <c r="M131" i="12"/>
  <c r="C131" i="12"/>
  <c r="O131" i="12"/>
  <c r="AO131" i="12"/>
  <c r="O136" i="5"/>
  <c r="C136" i="6"/>
  <c r="C48" i="12"/>
  <c r="M48" i="12"/>
  <c r="AO48" i="12"/>
  <c r="O48" i="12"/>
  <c r="AO106" i="12"/>
  <c r="C106" i="12"/>
  <c r="M106" i="12"/>
  <c r="O106" i="12"/>
  <c r="C107" i="12"/>
  <c r="O107" i="12"/>
  <c r="AO107" i="12"/>
  <c r="M107" i="12"/>
  <c r="AB35" i="5"/>
  <c r="O101" i="5"/>
  <c r="C101" i="6"/>
  <c r="L127" i="5"/>
  <c r="Z127" i="5"/>
  <c r="I127" i="12"/>
  <c r="AM127" i="5"/>
  <c r="AC127" i="5"/>
  <c r="R89" i="8"/>
  <c r="AB104" i="5"/>
  <c r="L27" i="5"/>
  <c r="AM27" i="5"/>
  <c r="I27" i="12"/>
  <c r="Z27" i="5"/>
  <c r="O15" i="11"/>
  <c r="AC27" i="5"/>
  <c r="R23" i="8"/>
  <c r="O29" i="5"/>
  <c r="C29" i="6"/>
  <c r="M47" i="12"/>
  <c r="C47" i="12"/>
  <c r="O47" i="12"/>
  <c r="AO47" i="12"/>
  <c r="C47" i="6"/>
  <c r="O47" i="5"/>
  <c r="AB38" i="5"/>
  <c r="AB130" i="5"/>
  <c r="O102" i="12"/>
  <c r="C102" i="12"/>
  <c r="AO102" i="12"/>
  <c r="M102" i="12"/>
  <c r="C43" i="6"/>
  <c r="O43" i="5"/>
  <c r="O30" i="12"/>
  <c r="C30" i="12"/>
  <c r="M30" i="12"/>
  <c r="AO30" i="12"/>
  <c r="C112" i="6"/>
  <c r="O112" i="5"/>
  <c r="AB54" i="5"/>
  <c r="AO57" i="12"/>
  <c r="M57" i="12"/>
  <c r="O57" i="12"/>
  <c r="C57" i="12"/>
  <c r="O36" i="5"/>
  <c r="C36" i="6"/>
  <c r="AO78" i="12"/>
  <c r="C78" i="12"/>
  <c r="M78" i="12"/>
  <c r="O78" i="12"/>
  <c r="AB158" i="5"/>
  <c r="AB97" i="5"/>
  <c r="Z84" i="5"/>
  <c r="I84" i="12"/>
  <c r="AC84" i="5"/>
  <c r="L84" i="5"/>
  <c r="AM84" i="5"/>
  <c r="R71" i="8"/>
  <c r="C24" i="6"/>
  <c r="O24" i="5"/>
  <c r="C73" i="6"/>
  <c r="O64" i="12"/>
  <c r="M64" i="12"/>
  <c r="C64" i="12"/>
  <c r="AO64" i="12"/>
  <c r="C94" i="12"/>
  <c r="M94" i="12"/>
  <c r="AO94" i="12"/>
  <c r="O94" i="12"/>
  <c r="AO59" i="12"/>
  <c r="M59" i="12"/>
  <c r="C59" i="12"/>
  <c r="O59" i="12"/>
  <c r="O139" i="5"/>
  <c r="C139" i="6"/>
  <c r="O34" i="12"/>
  <c r="AO34" i="12"/>
  <c r="M34" i="12"/>
  <c r="C34" i="12"/>
  <c r="O39" i="5"/>
  <c r="C39" i="6"/>
  <c r="O103" i="5"/>
  <c r="C103" i="6"/>
  <c r="O100" i="5"/>
  <c r="C100" i="6"/>
  <c r="AO125" i="12"/>
  <c r="M125" i="12"/>
  <c r="O125" i="12"/>
  <c r="C125" i="12"/>
  <c r="AB161" i="5"/>
  <c r="AO68" i="12"/>
  <c r="C68" i="12"/>
  <c r="O68" i="12"/>
  <c r="M68" i="12"/>
  <c r="AO113" i="12"/>
  <c r="M113" i="12"/>
  <c r="O113" i="12"/>
  <c r="C113" i="12"/>
  <c r="M159" i="12"/>
  <c r="O159" i="12"/>
  <c r="C159" i="12"/>
  <c r="AO159" i="12"/>
  <c r="C149" i="6"/>
  <c r="O149" i="5"/>
  <c r="C75" i="6"/>
  <c r="M126" i="12"/>
  <c r="AO126" i="12"/>
  <c r="O126" i="12"/>
  <c r="C126" i="12"/>
  <c r="AB21" i="5"/>
  <c r="C60" i="6"/>
  <c r="O60" i="5"/>
  <c r="C45" i="6"/>
  <c r="O45" i="5"/>
  <c r="AB49" i="5"/>
  <c r="AO141" i="12"/>
  <c r="M141" i="12"/>
  <c r="C141" i="12"/>
  <c r="O141" i="12"/>
  <c r="O20" i="12"/>
  <c r="C20" i="12"/>
  <c r="M20" i="12"/>
  <c r="AO20" i="12"/>
  <c r="O91" i="12"/>
  <c r="C91" i="12"/>
  <c r="M91" i="12"/>
  <c r="AO91" i="12"/>
  <c r="AB53" i="5"/>
  <c r="AO157" i="12"/>
  <c r="O157" i="12"/>
  <c r="C157" i="12"/>
  <c r="M157" i="12"/>
  <c r="R83" i="8"/>
  <c r="L122" i="5"/>
  <c r="AM122" i="5"/>
  <c r="O21" i="11"/>
  <c r="I122" i="12"/>
  <c r="Z122" i="5"/>
  <c r="AC122" i="5"/>
  <c r="O18" i="12"/>
  <c r="C18" i="12"/>
  <c r="M18" i="12"/>
  <c r="AO18" i="12"/>
  <c r="Z16" i="5"/>
  <c r="R14" i="8"/>
  <c r="AM16" i="5"/>
  <c r="L16" i="5"/>
  <c r="I16" i="12"/>
  <c r="O14" i="11"/>
  <c r="AC16" i="5"/>
  <c r="AN61" i="5"/>
  <c r="W61" i="5"/>
  <c r="W76" i="5"/>
  <c r="AN76" i="5"/>
  <c r="AB42" i="5"/>
  <c r="C140" i="12"/>
  <c r="M140" i="12"/>
  <c r="AO140" i="12"/>
  <c r="O140" i="12"/>
  <c r="I146" i="12"/>
  <c r="AM146" i="5"/>
  <c r="AC146" i="5"/>
  <c r="L146" i="5"/>
  <c r="Z146" i="5"/>
  <c r="R98" i="8"/>
  <c r="AB129" i="5"/>
  <c r="O96" i="5"/>
  <c r="C96" i="6"/>
  <c r="AM163" i="5"/>
  <c r="AC163" i="5"/>
  <c r="Z163" i="5"/>
  <c r="I163" i="12"/>
  <c r="L163" i="5"/>
  <c r="AB136" i="5"/>
  <c r="C48" i="6"/>
  <c r="O48" i="5"/>
  <c r="C107" i="6"/>
  <c r="O107" i="5"/>
  <c r="O25" i="12"/>
  <c r="M25" i="12"/>
  <c r="AO25" i="12"/>
  <c r="C25" i="12"/>
  <c r="AB69" i="5"/>
  <c r="M35" i="12"/>
  <c r="AO35" i="12"/>
  <c r="O35" i="12"/>
  <c r="C35" i="12"/>
  <c r="C38" i="6"/>
  <c r="O38" i="5"/>
  <c r="C154" i="6"/>
  <c r="C65" i="6"/>
  <c r="O65" i="5"/>
  <c r="AB133" i="5"/>
  <c r="C137" i="12"/>
  <c r="M137" i="12"/>
  <c r="O137" i="12"/>
  <c r="AO137" i="12"/>
  <c r="C105" i="12"/>
  <c r="AO105" i="12"/>
  <c r="O105" i="12"/>
  <c r="M105" i="12"/>
  <c r="AO147" i="12"/>
  <c r="O147" i="12"/>
  <c r="C147" i="12"/>
  <c r="M147" i="12"/>
  <c r="AB52" i="5"/>
  <c r="C89" i="12"/>
  <c r="AO89" i="12"/>
  <c r="M89" i="12"/>
  <c r="O89" i="12"/>
  <c r="O93" i="5"/>
  <c r="C93" i="6"/>
  <c r="C66" i="6"/>
  <c r="O66" i="5"/>
  <c r="AB155" i="5"/>
  <c r="AB138" i="5"/>
  <c r="C164" i="12"/>
  <c r="AO164" i="12"/>
  <c r="O164" i="12"/>
  <c r="M164" i="12"/>
  <c r="M163" i="12" s="1"/>
  <c r="C136" i="12"/>
  <c r="O136" i="12"/>
  <c r="AO136" i="12"/>
  <c r="M136" i="12"/>
  <c r="AB106" i="5"/>
  <c r="AB107" i="5"/>
  <c r="AB25" i="5"/>
  <c r="AB110" i="5"/>
  <c r="O19" i="5"/>
  <c r="C19" i="6"/>
  <c r="AB26" i="5"/>
  <c r="C69" i="12"/>
  <c r="O69" i="12"/>
  <c r="AO69" i="12"/>
  <c r="M69" i="12"/>
  <c r="M101" i="12"/>
  <c r="O101" i="12"/>
  <c r="AO101" i="12"/>
  <c r="C101" i="12"/>
  <c r="O128" i="12"/>
  <c r="C128" i="12"/>
  <c r="M128" i="12"/>
  <c r="AO128" i="12"/>
  <c r="O128" i="5"/>
  <c r="C128" i="6"/>
  <c r="O104" i="5"/>
  <c r="C104" i="6"/>
  <c r="AM28" i="5"/>
  <c r="AC28" i="5"/>
  <c r="I28" i="12"/>
  <c r="L28" i="5"/>
  <c r="R26" i="8"/>
  <c r="Z28" i="5"/>
  <c r="C29" i="12"/>
  <c r="AO29" i="12"/>
  <c r="O29" i="12"/>
  <c r="M29" i="12"/>
  <c r="AB47" i="5"/>
  <c r="C130" i="6"/>
  <c r="O130" i="5"/>
  <c r="AB102" i="5"/>
  <c r="AB99" i="5"/>
  <c r="C43" i="12"/>
  <c r="M43" i="12"/>
  <c r="AO43" i="12"/>
  <c r="O43" i="12"/>
  <c r="C30" i="6"/>
  <c r="O30" i="5"/>
  <c r="O54" i="5"/>
  <c r="C54" i="6"/>
  <c r="C57" i="6"/>
  <c r="O57" i="5"/>
  <c r="AB32" i="5"/>
  <c r="O78" i="5"/>
  <c r="C78" i="6"/>
  <c r="AM77" i="5"/>
  <c r="Z77" i="5"/>
  <c r="I77" i="12"/>
  <c r="AC77" i="5"/>
  <c r="L77" i="5"/>
  <c r="R62" i="8"/>
  <c r="C158" i="6"/>
  <c r="O158" i="5"/>
  <c r="C97" i="6"/>
  <c r="O97" i="5"/>
  <c r="C85" i="6"/>
  <c r="O85" i="5"/>
  <c r="C85" i="12"/>
  <c r="M85" i="12"/>
  <c r="AO85" i="12"/>
  <c r="O85" i="12"/>
  <c r="O92" i="5"/>
  <c r="C92" i="6"/>
  <c r="C118" i="12"/>
  <c r="O118" i="12"/>
  <c r="AO118" i="12"/>
  <c r="M118" i="12"/>
  <c r="M24" i="12"/>
  <c r="O24" i="12"/>
  <c r="AO24" i="12"/>
  <c r="C24" i="12"/>
  <c r="AB74" i="5"/>
  <c r="AB90" i="5"/>
  <c r="C37" i="12"/>
  <c r="O37" i="12"/>
  <c r="AO37" i="12"/>
  <c r="M37" i="12"/>
  <c r="C144" i="12"/>
  <c r="M144" i="12"/>
  <c r="AO144" i="12"/>
  <c r="O144" i="12"/>
  <c r="AB73" i="5"/>
  <c r="O64" i="5"/>
  <c r="C64" i="6"/>
  <c r="AB59" i="5"/>
  <c r="AB139" i="5"/>
  <c r="O34" i="5"/>
  <c r="C34" i="6"/>
  <c r="I33" i="12"/>
  <c r="L33" i="5"/>
  <c r="Z33" i="5"/>
  <c r="R29" i="8"/>
  <c r="AC33" i="5"/>
  <c r="AM33" i="5"/>
  <c r="AB135" i="5"/>
  <c r="M31" i="12"/>
  <c r="C31" i="12"/>
  <c r="O31" i="12"/>
  <c r="AO31" i="12"/>
  <c r="AO103" i="12"/>
  <c r="M103" i="12"/>
  <c r="O103" i="12"/>
  <c r="C103" i="12"/>
  <c r="AB100" i="5"/>
  <c r="O132" i="12"/>
  <c r="M132" i="12"/>
  <c r="AO132" i="12"/>
  <c r="C132" i="12"/>
  <c r="C63" i="12"/>
  <c r="AO63" i="12"/>
  <c r="O63" i="12"/>
  <c r="M63" i="12"/>
  <c r="M62" i="12" s="1"/>
  <c r="C82" i="6"/>
  <c r="O82" i="5"/>
  <c r="AB115" i="5"/>
  <c r="I67" i="12"/>
  <c r="L67" i="5"/>
  <c r="AM67" i="5"/>
  <c r="Z67" i="5"/>
  <c r="AC67" i="5"/>
  <c r="R53" i="8"/>
  <c r="AB113" i="5"/>
  <c r="AB159" i="5"/>
  <c r="AO108" i="12"/>
  <c r="C108" i="12"/>
  <c r="M108" i="12"/>
  <c r="O108" i="12"/>
  <c r="C22" i="12"/>
  <c r="AO22" i="12"/>
  <c r="O22" i="12"/>
  <c r="M22" i="12"/>
  <c r="O143" i="5"/>
  <c r="C143" i="6"/>
  <c r="C143" i="12"/>
  <c r="O143" i="12"/>
  <c r="M143" i="12"/>
  <c r="AO143" i="12"/>
  <c r="AB153" i="5"/>
  <c r="O148" i="5"/>
  <c r="C148" i="6"/>
  <c r="AB149" i="5"/>
  <c r="AB134" i="5"/>
  <c r="AB45" i="5"/>
  <c r="AO49" i="12"/>
  <c r="C49" i="12"/>
  <c r="M49" i="12"/>
  <c r="O49" i="12"/>
  <c r="O44" i="5"/>
  <c r="C44" i="6"/>
  <c r="AB141" i="5"/>
  <c r="AB20" i="5"/>
  <c r="C91" i="6"/>
  <c r="O91" i="5"/>
  <c r="AB86" i="5"/>
  <c r="AB56" i="5"/>
  <c r="O53" i="12"/>
  <c r="M53" i="12"/>
  <c r="AO53" i="12"/>
  <c r="C53" i="12"/>
  <c r="R107" i="8"/>
  <c r="I156" i="12"/>
  <c r="L156" i="5"/>
  <c r="AC156" i="5"/>
  <c r="Z156" i="5"/>
  <c r="AM156" i="5"/>
  <c r="AC123" i="5"/>
  <c r="I123" i="12"/>
  <c r="AM123" i="5"/>
  <c r="R86" i="8"/>
  <c r="L123" i="5"/>
  <c r="Z123" i="5"/>
  <c r="L17" i="5"/>
  <c r="AM17" i="5"/>
  <c r="R17" i="8"/>
  <c r="Z17" i="5"/>
  <c r="I17" i="12"/>
  <c r="AC17" i="5"/>
  <c r="AN83" i="5"/>
  <c r="W83" i="5"/>
  <c r="AN72" i="5"/>
  <c r="W72" i="5"/>
  <c r="D112" i="8" l="1"/>
  <c r="D110" i="8" s="1"/>
  <c r="Y112" i="8"/>
  <c r="Y110" i="8" s="1"/>
  <c r="AD112" i="8"/>
  <c r="AD110" i="8" s="1"/>
  <c r="AE112" i="8"/>
  <c r="AE110" i="8" s="1"/>
  <c r="V112" i="8"/>
  <c r="V110" i="8" s="1"/>
  <c r="U112" i="8"/>
  <c r="U110" i="8" s="1"/>
  <c r="C110" i="8"/>
  <c r="F110" i="8"/>
  <c r="F111" i="8"/>
  <c r="G111" i="8"/>
  <c r="W112" i="8"/>
  <c r="W110" i="8" s="1"/>
  <c r="X112" i="8"/>
  <c r="X110" i="8" s="1"/>
  <c r="M77" i="12"/>
  <c r="C92" i="8"/>
  <c r="M23" i="12"/>
  <c r="Y88" i="12"/>
  <c r="X88" i="12" s="1"/>
  <c r="Y93" i="12"/>
  <c r="N110" i="12"/>
  <c r="Y65" i="12"/>
  <c r="Y149" i="12"/>
  <c r="Y153" i="12"/>
  <c r="M84" i="12"/>
  <c r="Y87" i="12"/>
  <c r="N161" i="12"/>
  <c r="N100" i="12"/>
  <c r="Y35" i="12"/>
  <c r="Y64" i="12"/>
  <c r="Y30" i="12"/>
  <c r="Y138" i="12"/>
  <c r="Y155" i="12"/>
  <c r="N60" i="12"/>
  <c r="N134" i="12"/>
  <c r="Y154" i="12"/>
  <c r="W154" i="12" s="1"/>
  <c r="N49" i="12"/>
  <c r="N108" i="12"/>
  <c r="Y31" i="12"/>
  <c r="X31" i="12" s="1"/>
  <c r="N37" i="12"/>
  <c r="N101" i="12"/>
  <c r="Y137" i="12"/>
  <c r="N94" i="12"/>
  <c r="Y106" i="12"/>
  <c r="N131" i="12"/>
  <c r="N96" i="12"/>
  <c r="N26" i="12"/>
  <c r="N95" i="12"/>
  <c r="Y79" i="12"/>
  <c r="N148" i="12"/>
  <c r="Y73" i="12"/>
  <c r="Y39" i="12"/>
  <c r="Y74" i="12"/>
  <c r="Y54" i="12"/>
  <c r="Y111" i="12"/>
  <c r="W111" i="12" s="1"/>
  <c r="Y105" i="12"/>
  <c r="Y126" i="12"/>
  <c r="Y129" i="12"/>
  <c r="Y133" i="12"/>
  <c r="Y112" i="12"/>
  <c r="N135" i="12"/>
  <c r="Y139" i="12"/>
  <c r="N74" i="12"/>
  <c r="Y136" i="12"/>
  <c r="N140" i="12"/>
  <c r="N57" i="12"/>
  <c r="Y60" i="12"/>
  <c r="Y53" i="12"/>
  <c r="N31" i="12"/>
  <c r="N126" i="12"/>
  <c r="N73" i="12"/>
  <c r="Y97" i="12"/>
  <c r="N112" i="12"/>
  <c r="N75" i="12"/>
  <c r="Y96" i="12"/>
  <c r="Y134" i="12"/>
  <c r="N130" i="12"/>
  <c r="AB46" i="5"/>
  <c r="C38" i="8" s="1"/>
  <c r="Y101" i="12"/>
  <c r="Y69" i="12"/>
  <c r="Y125" i="12"/>
  <c r="N64" i="12"/>
  <c r="N30" i="12"/>
  <c r="Y102" i="12"/>
  <c r="N107" i="12"/>
  <c r="N138" i="12"/>
  <c r="N155" i="12"/>
  <c r="Y95" i="12"/>
  <c r="Y44" i="12"/>
  <c r="Y21" i="12"/>
  <c r="Y90" i="12"/>
  <c r="N86" i="12"/>
  <c r="N153" i="12"/>
  <c r="Y121" i="12"/>
  <c r="Y38" i="12"/>
  <c r="Y160" i="12"/>
  <c r="Y25" i="12"/>
  <c r="Y57" i="12"/>
  <c r="Y92" i="12"/>
  <c r="N158" i="12"/>
  <c r="N103" i="12"/>
  <c r="M156" i="12"/>
  <c r="Y141" i="12"/>
  <c r="N159" i="12"/>
  <c r="N125" i="12"/>
  <c r="N102" i="12"/>
  <c r="N106" i="12"/>
  <c r="Y148" i="12"/>
  <c r="Y158" i="12"/>
  <c r="Y56" i="12"/>
  <c r="X56" i="12" s="1"/>
  <c r="N115" i="12"/>
  <c r="N54" i="12"/>
  <c r="N65" i="12"/>
  <c r="N111" i="12"/>
  <c r="Y66" i="12"/>
  <c r="L67" i="12"/>
  <c r="C67" i="12"/>
  <c r="J67" i="12"/>
  <c r="X72" i="5"/>
  <c r="H72" i="12"/>
  <c r="Y22" i="12"/>
  <c r="O33" i="5"/>
  <c r="C33" i="6"/>
  <c r="N144" i="12"/>
  <c r="J17" i="12"/>
  <c r="C17" i="12"/>
  <c r="L17" i="12"/>
  <c r="C17" i="6"/>
  <c r="O17" i="5"/>
  <c r="G108" i="8"/>
  <c r="F107" i="8"/>
  <c r="F108" i="8"/>
  <c r="W109" i="8"/>
  <c r="W107" i="8" s="1"/>
  <c r="Y109" i="8"/>
  <c r="Y107" i="8" s="1"/>
  <c r="U109" i="8"/>
  <c r="U107" i="8" s="1"/>
  <c r="AE109" i="8"/>
  <c r="AE107" i="8" s="1"/>
  <c r="AB109" i="8"/>
  <c r="AB107" i="8" s="1"/>
  <c r="X109" i="8"/>
  <c r="X107" i="8" s="1"/>
  <c r="AC109" i="8"/>
  <c r="AC107" i="8" s="1"/>
  <c r="V109" i="8"/>
  <c r="V107" i="8" s="1"/>
  <c r="Z109" i="8"/>
  <c r="Z107" i="8" s="1"/>
  <c r="D109" i="8"/>
  <c r="D107" i="8" s="1"/>
  <c r="T109" i="8"/>
  <c r="T107" i="8" s="1"/>
  <c r="AA109" i="8"/>
  <c r="AA107" i="8" s="1"/>
  <c r="AD109" i="8"/>
  <c r="AD107" i="8" s="1"/>
  <c r="N53" i="12"/>
  <c r="E44" i="6"/>
  <c r="D44" i="12"/>
  <c r="Y49" i="12"/>
  <c r="D148" i="12"/>
  <c r="E148" i="6"/>
  <c r="M142" i="12"/>
  <c r="D143" i="12"/>
  <c r="E143" i="6"/>
  <c r="Y108" i="12"/>
  <c r="O62" i="12"/>
  <c r="N62" i="12" s="1"/>
  <c r="N63" i="12"/>
  <c r="Y132" i="12"/>
  <c r="Y103" i="12"/>
  <c r="L33" i="12"/>
  <c r="C33" i="12"/>
  <c r="J33" i="12"/>
  <c r="D64" i="12"/>
  <c r="E64" i="6"/>
  <c r="Y144" i="12"/>
  <c r="Y37" i="12"/>
  <c r="AO23" i="12"/>
  <c r="Y24" i="12"/>
  <c r="Y118" i="12"/>
  <c r="E92" i="6"/>
  <c r="D92" i="12"/>
  <c r="O77" i="5"/>
  <c r="C77" i="6"/>
  <c r="D54" i="12"/>
  <c r="E54" i="6"/>
  <c r="Y43" i="12"/>
  <c r="N29" i="12"/>
  <c r="O28" i="12"/>
  <c r="O27" i="12"/>
  <c r="X28" i="8"/>
  <c r="T28" i="8"/>
  <c r="AB28" i="8"/>
  <c r="AC28" i="8"/>
  <c r="V28" i="8"/>
  <c r="U28" i="8"/>
  <c r="F27" i="8"/>
  <c r="F26" i="8"/>
  <c r="D28" i="8"/>
  <c r="AA28" i="8"/>
  <c r="AA26" i="8" s="1"/>
  <c r="W28" i="8"/>
  <c r="AD28" i="8"/>
  <c r="Z28" i="8"/>
  <c r="Y28" i="8"/>
  <c r="Y26" i="8" s="1"/>
  <c r="G26" i="8" s="1"/>
  <c r="I27" i="8" s="1"/>
  <c r="AE28" i="8"/>
  <c r="G27" i="8"/>
  <c r="E128" i="6"/>
  <c r="D128" i="12"/>
  <c r="O127" i="12"/>
  <c r="N128" i="12"/>
  <c r="D19" i="12"/>
  <c r="E19" i="6"/>
  <c r="D93" i="12"/>
  <c r="E93" i="6"/>
  <c r="N105" i="12"/>
  <c r="N137" i="12"/>
  <c r="N35" i="12"/>
  <c r="N25" i="12"/>
  <c r="L163" i="12"/>
  <c r="C163" i="12"/>
  <c r="J163" i="12"/>
  <c r="T100" i="8"/>
  <c r="T98" i="8" s="1"/>
  <c r="F98" i="8"/>
  <c r="AB100" i="8"/>
  <c r="AB98" i="8" s="1"/>
  <c r="G99" i="8"/>
  <c r="F99" i="8"/>
  <c r="U100" i="8"/>
  <c r="U97" i="8" s="1"/>
  <c r="U95" i="8" s="1"/>
  <c r="AA100" i="8"/>
  <c r="AA97" i="8" s="1"/>
  <c r="AA95" i="8" s="1"/>
  <c r="Y100" i="8"/>
  <c r="Y97" i="8" s="1"/>
  <c r="Y95" i="8" s="1"/>
  <c r="T97" i="8"/>
  <c r="T95" i="8" s="1"/>
  <c r="V100" i="8"/>
  <c r="V97" i="8" s="1"/>
  <c r="V95" i="8" s="1"/>
  <c r="D100" i="8"/>
  <c r="D97" i="8" s="1"/>
  <c r="D95" i="8" s="1"/>
  <c r="AD100" i="8"/>
  <c r="AD97" i="8" s="1"/>
  <c r="AD95" i="8" s="1"/>
  <c r="X100" i="8"/>
  <c r="X97" i="8" s="1"/>
  <c r="X95" i="8" s="1"/>
  <c r="W100" i="8"/>
  <c r="W97" i="8" s="1"/>
  <c r="W95" i="8" s="1"/>
  <c r="AE100" i="8"/>
  <c r="AE97" i="8" s="1"/>
  <c r="AE95" i="8" s="1"/>
  <c r="Z100" i="8"/>
  <c r="Z97" i="8" s="1"/>
  <c r="Z95" i="8" s="1"/>
  <c r="AC100" i="8"/>
  <c r="AC97" i="8" s="1"/>
  <c r="AC95" i="8" s="1"/>
  <c r="M16" i="12"/>
  <c r="M17" i="12"/>
  <c r="C122" i="6"/>
  <c r="O122" i="5"/>
  <c r="O156" i="12"/>
  <c r="N156" i="12" s="1"/>
  <c r="N157" i="12"/>
  <c r="Y91" i="12"/>
  <c r="Y20" i="12"/>
  <c r="N141" i="12"/>
  <c r="E60" i="6"/>
  <c r="D60" i="12"/>
  <c r="Y159" i="12"/>
  <c r="M67" i="12"/>
  <c r="D24" i="12"/>
  <c r="E24" i="6"/>
  <c r="C84" i="6"/>
  <c r="O84" i="5"/>
  <c r="O77" i="12"/>
  <c r="N78" i="12"/>
  <c r="D112" i="12"/>
  <c r="E112" i="6"/>
  <c r="E47" i="6"/>
  <c r="D47" i="12"/>
  <c r="G23" i="8"/>
  <c r="I24" i="8" s="1"/>
  <c r="F23" i="8"/>
  <c r="F24" i="8"/>
  <c r="G24" i="8"/>
  <c r="L27" i="12"/>
  <c r="J27" i="12"/>
  <c r="C27" i="12"/>
  <c r="L127" i="12"/>
  <c r="C127" i="12"/>
  <c r="J127" i="12"/>
  <c r="D101" i="12"/>
  <c r="E101" i="6"/>
  <c r="Y107" i="12"/>
  <c r="Y48" i="12"/>
  <c r="D136" i="12"/>
  <c r="E136" i="6"/>
  <c r="Y52" i="12"/>
  <c r="AO51" i="12"/>
  <c r="N129" i="12"/>
  <c r="N133" i="12"/>
  <c r="O41" i="12"/>
  <c r="O40" i="12"/>
  <c r="N42" i="12"/>
  <c r="Y19" i="12"/>
  <c r="AB145" i="5"/>
  <c r="AB22" i="11" s="1"/>
  <c r="N22" i="11" s="1"/>
  <c r="AB146" i="5"/>
  <c r="C95" i="8" s="1"/>
  <c r="N79" i="12"/>
  <c r="E111" i="6"/>
  <c r="D111" i="12"/>
  <c r="E18" i="6"/>
  <c r="D18" i="12"/>
  <c r="M123" i="12"/>
  <c r="M122" i="12"/>
  <c r="D20" i="12"/>
  <c r="E20" i="6"/>
  <c r="N21" i="12"/>
  <c r="E161" i="6"/>
  <c r="D161" i="12"/>
  <c r="Y82" i="12"/>
  <c r="D132" i="12"/>
  <c r="E132" i="6"/>
  <c r="E135" i="6"/>
  <c r="D135" i="12"/>
  <c r="N90" i="12"/>
  <c r="N97" i="12"/>
  <c r="W56" i="12"/>
  <c r="Y45" i="12"/>
  <c r="Y75" i="12"/>
  <c r="N149" i="12"/>
  <c r="F92" i="8"/>
  <c r="G93" i="8"/>
  <c r="F93" i="8"/>
  <c r="AB94" i="8"/>
  <c r="T94" i="8"/>
  <c r="AA94" i="8"/>
  <c r="W94" i="8"/>
  <c r="U94" i="8"/>
  <c r="X94" i="8"/>
  <c r="V94" i="8"/>
  <c r="AD94" i="8"/>
  <c r="Z94" i="8"/>
  <c r="D94" i="8"/>
  <c r="AC94" i="8"/>
  <c r="Y94" i="8"/>
  <c r="AE94" i="8"/>
  <c r="G92" i="8"/>
  <c r="I93" i="8" s="1"/>
  <c r="Y161" i="12"/>
  <c r="C62" i="6"/>
  <c r="O62" i="5"/>
  <c r="D63" i="12"/>
  <c r="E63" i="6"/>
  <c r="Y100" i="12"/>
  <c r="N39" i="12"/>
  <c r="N139" i="12"/>
  <c r="N121" i="12"/>
  <c r="C23" i="6"/>
  <c r="O23" i="5"/>
  <c r="D118" i="12"/>
  <c r="E118" i="6"/>
  <c r="N36" i="12"/>
  <c r="Y130" i="12"/>
  <c r="N104" i="12"/>
  <c r="E26" i="6"/>
  <c r="D26" i="12"/>
  <c r="Y46" i="8"/>
  <c r="F45" i="8"/>
  <c r="U46" i="8"/>
  <c r="Z46" i="8"/>
  <c r="X46" i="8"/>
  <c r="AE46" i="8"/>
  <c r="AB46" i="8"/>
  <c r="F44" i="8"/>
  <c r="V46" i="8"/>
  <c r="G45" i="8"/>
  <c r="AA46" i="8"/>
  <c r="AD46" i="8"/>
  <c r="G44" i="8"/>
  <c r="I45" i="8" s="1"/>
  <c r="AC46" i="8"/>
  <c r="D46" i="8"/>
  <c r="W46" i="8"/>
  <c r="T46" i="8"/>
  <c r="F96" i="8"/>
  <c r="G96" i="8"/>
  <c r="F95" i="8"/>
  <c r="G95" i="8"/>
  <c r="I96" i="8" s="1"/>
  <c r="D137" i="12"/>
  <c r="E137" i="6"/>
  <c r="X65" i="12"/>
  <c r="W65" i="12"/>
  <c r="X154" i="12"/>
  <c r="N162" i="12"/>
  <c r="C16" i="11"/>
  <c r="W16" i="11"/>
  <c r="L16" i="13"/>
  <c r="D16" i="13" s="1"/>
  <c r="F33" i="8"/>
  <c r="G32" i="8"/>
  <c r="I33" i="8" s="1"/>
  <c r="G33" i="8"/>
  <c r="F32" i="8"/>
  <c r="N55" i="12"/>
  <c r="D138" i="12"/>
  <c r="E138" i="6"/>
  <c r="D162" i="12"/>
  <c r="E162" i="6"/>
  <c r="W88" i="12"/>
  <c r="AO62" i="12"/>
  <c r="Y62" i="12" s="1"/>
  <c r="Y63" i="12"/>
  <c r="W31" i="12"/>
  <c r="AA31" i="8"/>
  <c r="AA25" i="8" s="1"/>
  <c r="AA23" i="8" s="1"/>
  <c r="F29" i="8"/>
  <c r="T31" i="8"/>
  <c r="T25" i="8" s="1"/>
  <c r="T23" i="8" s="1"/>
  <c r="V31" i="8"/>
  <c r="Z31" i="8"/>
  <c r="AE31" i="8"/>
  <c r="D31" i="8"/>
  <c r="Y31" i="8"/>
  <c r="X31" i="8"/>
  <c r="AC31" i="8"/>
  <c r="G29" i="8"/>
  <c r="I30" i="8" s="1"/>
  <c r="AB31" i="8"/>
  <c r="AB25" i="8" s="1"/>
  <c r="AB23" i="8" s="1"/>
  <c r="F30" i="8"/>
  <c r="G30" i="8"/>
  <c r="W31" i="8"/>
  <c r="AD31" i="8"/>
  <c r="AD25" i="8" s="1"/>
  <c r="AD23" i="8" s="1"/>
  <c r="U31" i="8"/>
  <c r="O23" i="12"/>
  <c r="N23" i="12" s="1"/>
  <c r="N24" i="12"/>
  <c r="N118" i="12"/>
  <c r="O84" i="12"/>
  <c r="N84" i="12" s="1"/>
  <c r="N85" i="12"/>
  <c r="D85" i="12"/>
  <c r="E85" i="6"/>
  <c r="D158" i="12"/>
  <c r="E158" i="6"/>
  <c r="E57" i="6"/>
  <c r="D57" i="12"/>
  <c r="D30" i="12"/>
  <c r="E30" i="6"/>
  <c r="AO27" i="12"/>
  <c r="AO28" i="12"/>
  <c r="Y28" i="12" s="1"/>
  <c r="Y29" i="12"/>
  <c r="O28" i="5"/>
  <c r="C28" i="6"/>
  <c r="AO127" i="12"/>
  <c r="Y127" i="12" s="1"/>
  <c r="Y128" i="12"/>
  <c r="D66" i="12"/>
  <c r="E66" i="6"/>
  <c r="N89" i="12"/>
  <c r="O146" i="12"/>
  <c r="N147" i="12"/>
  <c r="O145" i="12"/>
  <c r="X105" i="12"/>
  <c r="W105" i="12"/>
  <c r="D65" i="12"/>
  <c r="E65" i="6"/>
  <c r="E38" i="6"/>
  <c r="D38" i="12"/>
  <c r="W35" i="12"/>
  <c r="X35" i="12"/>
  <c r="D107" i="12"/>
  <c r="E107" i="6"/>
  <c r="E96" i="6"/>
  <c r="D96" i="12"/>
  <c r="J146" i="12"/>
  <c r="L146" i="12"/>
  <c r="C146" i="12"/>
  <c r="X76" i="5"/>
  <c r="H76" i="12"/>
  <c r="C14" i="11"/>
  <c r="W14" i="11"/>
  <c r="L14" i="13"/>
  <c r="G14" i="8"/>
  <c r="I15" i="8" s="1"/>
  <c r="F14" i="8"/>
  <c r="F15" i="8"/>
  <c r="G15" i="8"/>
  <c r="C122" i="12"/>
  <c r="J122" i="12"/>
  <c r="L122" i="12"/>
  <c r="F84" i="8"/>
  <c r="G84" i="8"/>
  <c r="F83" i="8"/>
  <c r="G83" i="8"/>
  <c r="I84" i="8" s="1"/>
  <c r="Y157" i="12"/>
  <c r="AO156" i="12"/>
  <c r="N113" i="12"/>
  <c r="N68" i="12"/>
  <c r="O67" i="12"/>
  <c r="W125" i="12"/>
  <c r="X125" i="12"/>
  <c r="E103" i="6"/>
  <c r="D103" i="12"/>
  <c r="M33" i="12"/>
  <c r="D139" i="12"/>
  <c r="E139" i="6"/>
  <c r="Y59" i="12"/>
  <c r="D36" i="12"/>
  <c r="E36" i="6"/>
  <c r="W57" i="12"/>
  <c r="X57" i="12"/>
  <c r="X102" i="12"/>
  <c r="W102" i="12"/>
  <c r="M46" i="12"/>
  <c r="AD91" i="8"/>
  <c r="W91" i="8"/>
  <c r="Y91" i="8"/>
  <c r="D91" i="8"/>
  <c r="G90" i="8"/>
  <c r="AC91" i="8"/>
  <c r="G89" i="8"/>
  <c r="I90" i="8" s="1"/>
  <c r="AE91" i="8"/>
  <c r="T91" i="8"/>
  <c r="Z91" i="8"/>
  <c r="F90" i="8"/>
  <c r="AB91" i="8"/>
  <c r="V91" i="8"/>
  <c r="U91" i="8"/>
  <c r="X91" i="8"/>
  <c r="AA91" i="8"/>
  <c r="F89" i="8"/>
  <c r="Y131" i="12"/>
  <c r="W96" i="12"/>
  <c r="X96" i="12"/>
  <c r="W129" i="12"/>
  <c r="X129" i="12"/>
  <c r="D87" i="12"/>
  <c r="E87" i="6"/>
  <c r="W133" i="12"/>
  <c r="X133" i="12"/>
  <c r="N19" i="12"/>
  <c r="D110" i="12"/>
  <c r="E110" i="6"/>
  <c r="E105" i="6"/>
  <c r="D105" i="12"/>
  <c r="E160" i="6"/>
  <c r="D160" i="12"/>
  <c r="X114" i="5"/>
  <c r="H114" i="12"/>
  <c r="E22" i="6"/>
  <c r="D22" i="12"/>
  <c r="N124" i="12"/>
  <c r="O123" i="12"/>
  <c r="N123" i="12" s="1"/>
  <c r="O122" i="12"/>
  <c r="AB156" i="5"/>
  <c r="C107" i="8" s="1"/>
  <c r="D53" i="12"/>
  <c r="E53" i="6"/>
  <c r="E86" i="6"/>
  <c r="D86" i="12"/>
  <c r="D126" i="12"/>
  <c r="E126" i="6"/>
  <c r="D108" i="12"/>
  <c r="E108" i="6"/>
  <c r="AB67" i="5"/>
  <c r="C53" i="8" s="1"/>
  <c r="N82" i="12"/>
  <c r="AB33" i="5"/>
  <c r="C29" i="8" s="1"/>
  <c r="E94" i="6"/>
  <c r="D94" i="12"/>
  <c r="D37" i="12"/>
  <c r="E37" i="6"/>
  <c r="X92" i="12"/>
  <c r="W92" i="12"/>
  <c r="N32" i="12"/>
  <c r="X120" i="5"/>
  <c r="H120" i="12"/>
  <c r="AB123" i="5"/>
  <c r="C83" i="8" s="1"/>
  <c r="AB122" i="5"/>
  <c r="AB21" i="11" s="1"/>
  <c r="N21" i="11" s="1"/>
  <c r="Y86" i="12"/>
  <c r="D49" i="12"/>
  <c r="E49" i="6"/>
  <c r="N45" i="12"/>
  <c r="X149" i="12"/>
  <c r="W149" i="12"/>
  <c r="C142" i="12"/>
  <c r="L142" i="12"/>
  <c r="J142" i="12"/>
  <c r="C142" i="6"/>
  <c r="O142" i="5"/>
  <c r="C62" i="12"/>
  <c r="J62" i="12"/>
  <c r="L62" i="12"/>
  <c r="W139" i="12"/>
  <c r="X139" i="12"/>
  <c r="E59" i="6"/>
  <c r="D59" i="12"/>
  <c r="J23" i="12"/>
  <c r="C23" i="12"/>
  <c r="L23" i="12"/>
  <c r="AB84" i="5"/>
  <c r="W54" i="12"/>
  <c r="X54" i="12"/>
  <c r="Y99" i="12"/>
  <c r="AC40" i="8"/>
  <c r="F38" i="8"/>
  <c r="T40" i="8"/>
  <c r="Y40" i="8"/>
  <c r="AB40" i="8"/>
  <c r="AE40" i="8"/>
  <c r="W40" i="8"/>
  <c r="F39" i="8"/>
  <c r="AD40" i="8"/>
  <c r="D40" i="8"/>
  <c r="V40" i="8"/>
  <c r="X40" i="8"/>
  <c r="Z40" i="8"/>
  <c r="U40" i="8"/>
  <c r="AA40" i="8"/>
  <c r="G39" i="8"/>
  <c r="G38" i="8"/>
  <c r="I39" i="8" s="1"/>
  <c r="E35" i="6"/>
  <c r="D35" i="12"/>
  <c r="E25" i="6"/>
  <c r="D25" i="12"/>
  <c r="D89" i="12"/>
  <c r="E89" i="6"/>
  <c r="C51" i="6"/>
  <c r="O51" i="5"/>
  <c r="D129" i="12"/>
  <c r="E129" i="6"/>
  <c r="L22" i="13"/>
  <c r="D22" i="13" s="1"/>
  <c r="C22" i="11"/>
  <c r="W22" i="11"/>
  <c r="D79" i="12"/>
  <c r="E79" i="6"/>
  <c r="E133" i="6"/>
  <c r="D133" i="12"/>
  <c r="D55" i="12"/>
  <c r="E55" i="6"/>
  <c r="X87" i="12"/>
  <c r="W87" i="12"/>
  <c r="X160" i="12"/>
  <c r="W160" i="12"/>
  <c r="AB27" i="5"/>
  <c r="AB15" i="11" s="1"/>
  <c r="N15" i="11" s="1"/>
  <c r="AB28" i="5"/>
  <c r="C26" i="8" s="1"/>
  <c r="X93" i="12"/>
  <c r="W93" i="12"/>
  <c r="C41" i="6"/>
  <c r="O41" i="5"/>
  <c r="X83" i="5"/>
  <c r="H83" i="12"/>
  <c r="E91" i="6"/>
  <c r="D91" i="12"/>
  <c r="F54" i="8"/>
  <c r="G54" i="8"/>
  <c r="F53" i="8"/>
  <c r="Y55" i="8"/>
  <c r="Y53" i="8" s="1"/>
  <c r="T55" i="8"/>
  <c r="T53" i="8" s="1"/>
  <c r="V55" i="8"/>
  <c r="U55" i="8"/>
  <c r="AA55" i="8"/>
  <c r="AB55" i="8"/>
  <c r="AE55" i="8"/>
  <c r="AD55" i="8"/>
  <c r="AC55" i="8"/>
  <c r="W55" i="8"/>
  <c r="Z55" i="8"/>
  <c r="X55" i="8"/>
  <c r="D55" i="8"/>
  <c r="C67" i="6"/>
  <c r="O67" i="5"/>
  <c r="AD19" i="8"/>
  <c r="F17" i="8"/>
  <c r="X19" i="8"/>
  <c r="AE19" i="8"/>
  <c r="Y19" i="8"/>
  <c r="Z19" i="8"/>
  <c r="W19" i="8"/>
  <c r="AB19" i="8"/>
  <c r="G17" i="8"/>
  <c r="I18" i="8" s="1"/>
  <c r="AC19" i="8"/>
  <c r="AA19" i="8"/>
  <c r="T19" i="8"/>
  <c r="F18" i="8"/>
  <c r="U19" i="8"/>
  <c r="V19" i="8"/>
  <c r="D19" i="8"/>
  <c r="G18" i="8"/>
  <c r="C123" i="6"/>
  <c r="O123" i="5"/>
  <c r="C156" i="6"/>
  <c r="O156" i="5"/>
  <c r="N22" i="12"/>
  <c r="N132" i="12"/>
  <c r="Y85" i="12"/>
  <c r="AO84" i="12"/>
  <c r="C77" i="12"/>
  <c r="L77" i="12"/>
  <c r="J77" i="12"/>
  <c r="D78" i="12"/>
  <c r="E78" i="6"/>
  <c r="J28" i="12"/>
  <c r="C28" i="12"/>
  <c r="L28" i="12"/>
  <c r="D104" i="12"/>
  <c r="E104" i="6"/>
  <c r="M127" i="12"/>
  <c r="X101" i="12"/>
  <c r="W101" i="12"/>
  <c r="X69" i="12"/>
  <c r="W69" i="12"/>
  <c r="X136" i="12"/>
  <c r="W136" i="12"/>
  <c r="N164" i="12"/>
  <c r="O163" i="12"/>
  <c r="N163" i="12" s="1"/>
  <c r="AB51" i="5"/>
  <c r="C44" i="8" s="1"/>
  <c r="AO145" i="12"/>
  <c r="Y145" i="12" s="1"/>
  <c r="AO146" i="12"/>
  <c r="Y146" i="12" s="1"/>
  <c r="Y147" i="12"/>
  <c r="W25" i="12"/>
  <c r="X25" i="12"/>
  <c r="C146" i="6"/>
  <c r="O146" i="5"/>
  <c r="X61" i="5"/>
  <c r="H61" i="12"/>
  <c r="L16" i="12"/>
  <c r="J16" i="12"/>
  <c r="C16" i="12"/>
  <c r="O17" i="12"/>
  <c r="N17" i="12" s="1"/>
  <c r="O16" i="12"/>
  <c r="N18" i="12"/>
  <c r="W21" i="11"/>
  <c r="C21" i="11"/>
  <c r="L21" i="13"/>
  <c r="D21" i="13" s="1"/>
  <c r="E45" i="6"/>
  <c r="D45" i="12"/>
  <c r="W126" i="12"/>
  <c r="X126" i="12"/>
  <c r="D149" i="12"/>
  <c r="E149" i="6"/>
  <c r="Y34" i="12"/>
  <c r="AO33" i="12"/>
  <c r="N59" i="12"/>
  <c r="W64" i="12"/>
  <c r="X64" i="12"/>
  <c r="AC73" i="8"/>
  <c r="AC71" i="8" s="1"/>
  <c r="G72" i="8"/>
  <c r="T73" i="8"/>
  <c r="U73" i="8"/>
  <c r="U71" i="8" s="1"/>
  <c r="Z73" i="8"/>
  <c r="AB73" i="8"/>
  <c r="AB71" i="8" s="1"/>
  <c r="AD73" i="8"/>
  <c r="Y73" i="8"/>
  <c r="F72" i="8"/>
  <c r="X73" i="8"/>
  <c r="X71" i="8" s="1"/>
  <c r="D73" i="8"/>
  <c r="W73" i="8"/>
  <c r="W71" i="8" s="1"/>
  <c r="F71" i="8"/>
  <c r="AE73" i="8"/>
  <c r="V73" i="8"/>
  <c r="AA73" i="8"/>
  <c r="AA71" i="8" s="1"/>
  <c r="J84" i="12"/>
  <c r="C84" i="12"/>
  <c r="L84" i="12"/>
  <c r="X30" i="12"/>
  <c r="W30" i="12"/>
  <c r="E43" i="6"/>
  <c r="D43" i="12"/>
  <c r="Y47" i="12"/>
  <c r="AO46" i="12"/>
  <c r="L15" i="13"/>
  <c r="C15" i="11"/>
  <c r="W15" i="11"/>
  <c r="O27" i="5"/>
  <c r="C27" i="6"/>
  <c r="O127" i="5"/>
  <c r="C127" i="6"/>
  <c r="X106" i="12"/>
  <c r="W106" i="12"/>
  <c r="W138" i="12"/>
  <c r="X138" i="12"/>
  <c r="W155" i="12"/>
  <c r="X155" i="12"/>
  <c r="N52" i="12"/>
  <c r="O51" i="12"/>
  <c r="E42" i="6"/>
  <c r="D42" i="12"/>
  <c r="AO40" i="12"/>
  <c r="Y40" i="12" s="1"/>
  <c r="Y42" i="12"/>
  <c r="AO41" i="12"/>
  <c r="Y41" i="12" s="1"/>
  <c r="X95" i="12"/>
  <c r="W95" i="12"/>
  <c r="D124" i="12"/>
  <c r="E124" i="6"/>
  <c r="X44" i="12"/>
  <c r="W44" i="12"/>
  <c r="X148" i="12"/>
  <c r="W148" i="12"/>
  <c r="E159" i="6"/>
  <c r="D159" i="12"/>
  <c r="X73" i="12"/>
  <c r="W73" i="12"/>
  <c r="W90" i="12"/>
  <c r="X90" i="12"/>
  <c r="W97" i="12"/>
  <c r="X97" i="12"/>
  <c r="X158" i="12"/>
  <c r="W158" i="12"/>
  <c r="X112" i="12"/>
  <c r="W112" i="12"/>
  <c r="X60" i="12"/>
  <c r="W60" i="12"/>
  <c r="E21" i="6"/>
  <c r="D21" i="12"/>
  <c r="W134" i="12"/>
  <c r="X134" i="12"/>
  <c r="X153" i="12"/>
  <c r="W153" i="12"/>
  <c r="Y115" i="12"/>
  <c r="Y135" i="12"/>
  <c r="W121" i="12"/>
  <c r="X121" i="12"/>
  <c r="D144" i="12"/>
  <c r="E144" i="6"/>
  <c r="D90" i="12"/>
  <c r="E90" i="6"/>
  <c r="X74" i="12"/>
  <c r="W74" i="12"/>
  <c r="D32" i="12"/>
  <c r="E32" i="6"/>
  <c r="W38" i="12"/>
  <c r="X38" i="12"/>
  <c r="O46" i="5"/>
  <c r="C46" i="6"/>
  <c r="D69" i="12"/>
  <c r="E69" i="6"/>
  <c r="Y110" i="12"/>
  <c r="E106" i="6"/>
  <c r="D106" i="12"/>
  <c r="D131" i="12"/>
  <c r="E131" i="6"/>
  <c r="C145" i="6"/>
  <c r="O145" i="5"/>
  <c r="L145" i="12"/>
  <c r="J145" i="12"/>
  <c r="C145" i="12"/>
  <c r="N109" i="12"/>
  <c r="D95" i="12"/>
  <c r="E95" i="6"/>
  <c r="Y55" i="12"/>
  <c r="E164" i="6"/>
  <c r="D164" i="12"/>
  <c r="X66" i="12"/>
  <c r="W66" i="12"/>
  <c r="N93" i="12"/>
  <c r="X37" i="8"/>
  <c r="V37" i="8"/>
  <c r="F36" i="8"/>
  <c r="T37" i="8"/>
  <c r="Z37" i="8"/>
  <c r="Z34" i="8" s="1"/>
  <c r="Z32" i="8" s="1"/>
  <c r="G35" i="8"/>
  <c r="I36" i="8" s="1"/>
  <c r="F35" i="8"/>
  <c r="AD37" i="8"/>
  <c r="AD34" i="8" s="1"/>
  <c r="AD32" i="8" s="1"/>
  <c r="D37" i="8"/>
  <c r="AB37" i="8"/>
  <c r="Y37" i="8"/>
  <c r="G36" i="8"/>
  <c r="AA37" i="8"/>
  <c r="U37" i="8"/>
  <c r="AC37" i="8"/>
  <c r="AC34" i="8" s="1"/>
  <c r="AC32" i="8" s="1"/>
  <c r="W37" i="8"/>
  <c r="AE37" i="8"/>
  <c r="U34" i="8"/>
  <c r="U32" i="8" s="1"/>
  <c r="C41" i="12"/>
  <c r="J41" i="12"/>
  <c r="L41" i="12"/>
  <c r="N88" i="12"/>
  <c r="C123" i="12"/>
  <c r="J123" i="12"/>
  <c r="L123" i="12"/>
  <c r="N143" i="12"/>
  <c r="O142" i="12"/>
  <c r="N142" i="12" s="1"/>
  <c r="D82" i="12"/>
  <c r="E82" i="6"/>
  <c r="X53" i="12"/>
  <c r="W53" i="12"/>
  <c r="D34" i="12"/>
  <c r="E34" i="6"/>
  <c r="X88" i="8"/>
  <c r="X85" i="8" s="1"/>
  <c r="X83" i="8" s="1"/>
  <c r="T88" i="8"/>
  <c r="T85" i="8" s="1"/>
  <c r="W88" i="8"/>
  <c r="W85" i="8" s="1"/>
  <c r="W83" i="8" s="1"/>
  <c r="Y88" i="8"/>
  <c r="Y85" i="8" s="1"/>
  <c r="Y83" i="8" s="1"/>
  <c r="AE88" i="8"/>
  <c r="AE85" i="8" s="1"/>
  <c r="AE83" i="8" s="1"/>
  <c r="U88" i="8"/>
  <c r="U85" i="8" s="1"/>
  <c r="U83" i="8" s="1"/>
  <c r="AB88" i="8"/>
  <c r="AA88" i="8"/>
  <c r="AA85" i="8" s="1"/>
  <c r="AA83" i="8" s="1"/>
  <c r="AC88" i="8"/>
  <c r="AC85" i="8" s="1"/>
  <c r="AC83" i="8" s="1"/>
  <c r="D88" i="8"/>
  <c r="D85" i="8" s="1"/>
  <c r="V88" i="8"/>
  <c r="V85" i="8" s="1"/>
  <c r="V83" i="8" s="1"/>
  <c r="G86" i="8"/>
  <c r="I87" i="8" s="1"/>
  <c r="F87" i="8"/>
  <c r="F86" i="8"/>
  <c r="Z88" i="8"/>
  <c r="Z85" i="8" s="1"/>
  <c r="Z83" i="8" s="1"/>
  <c r="AD88" i="8"/>
  <c r="AD85" i="8" s="1"/>
  <c r="AD83" i="8" s="1"/>
  <c r="G87" i="8"/>
  <c r="C86" i="8"/>
  <c r="J156" i="12"/>
  <c r="C156" i="12"/>
  <c r="L156" i="12"/>
  <c r="Y143" i="12"/>
  <c r="AO142" i="12"/>
  <c r="E97" i="6"/>
  <c r="D97" i="12"/>
  <c r="F63" i="8"/>
  <c r="G63" i="8"/>
  <c r="F62" i="8"/>
  <c r="AA64" i="8"/>
  <c r="W64" i="8"/>
  <c r="D64" i="8"/>
  <c r="U64" i="8"/>
  <c r="Y64" i="8"/>
  <c r="AC64" i="8"/>
  <c r="AE64" i="8"/>
  <c r="Z64" i="8"/>
  <c r="T64" i="8"/>
  <c r="X64" i="8"/>
  <c r="AB64" i="8"/>
  <c r="AD64" i="8"/>
  <c r="V64" i="8"/>
  <c r="G62" i="8"/>
  <c r="I63" i="8" s="1"/>
  <c r="N43" i="12"/>
  <c r="E130" i="6"/>
  <c r="D130" i="12"/>
  <c r="M27" i="12"/>
  <c r="M28" i="12"/>
  <c r="N69" i="12"/>
  <c r="N136" i="12"/>
  <c r="AO163" i="12"/>
  <c r="Y164" i="12"/>
  <c r="Y89" i="12"/>
  <c r="M145" i="12"/>
  <c r="M146" i="12"/>
  <c r="X137" i="12"/>
  <c r="W137" i="12"/>
  <c r="D48" i="12"/>
  <c r="E48" i="6"/>
  <c r="C163" i="6"/>
  <c r="O163" i="5"/>
  <c r="Y140" i="12"/>
  <c r="AB40" i="5"/>
  <c r="AB16" i="11" s="1"/>
  <c r="N16" i="11" s="1"/>
  <c r="AB41" i="5"/>
  <c r="C35" i="8" s="1"/>
  <c r="O16" i="5"/>
  <c r="C16" i="6"/>
  <c r="AO17" i="12"/>
  <c r="AO16" i="12"/>
  <c r="Y18" i="12"/>
  <c r="N91" i="12"/>
  <c r="N20" i="12"/>
  <c r="X141" i="12"/>
  <c r="W141" i="12"/>
  <c r="Y113" i="12"/>
  <c r="AO67" i="12"/>
  <c r="Y67" i="12" s="1"/>
  <c r="Y68" i="12"/>
  <c r="E100" i="6"/>
  <c r="D100" i="12"/>
  <c r="E39" i="6"/>
  <c r="D39" i="12"/>
  <c r="O33" i="12"/>
  <c r="N33" i="12" s="1"/>
  <c r="N34" i="12"/>
  <c r="Y94" i="12"/>
  <c r="Y78" i="12"/>
  <c r="AO77" i="12"/>
  <c r="Y77" i="12" s="1"/>
  <c r="O46" i="12"/>
  <c r="N46" i="12" s="1"/>
  <c r="N47" i="12"/>
  <c r="D29" i="12"/>
  <c r="E29" i="6"/>
  <c r="N48" i="12"/>
  <c r="M51" i="12"/>
  <c r="E147" i="6"/>
  <c r="D147" i="12"/>
  <c r="E140" i="6"/>
  <c r="D140" i="12"/>
  <c r="M40" i="12"/>
  <c r="M41" i="12"/>
  <c r="D109" i="12"/>
  <c r="E109" i="6"/>
  <c r="E99" i="6"/>
  <c r="D99" i="12"/>
  <c r="Y26" i="12"/>
  <c r="X79" i="12"/>
  <c r="W79" i="12"/>
  <c r="H152" i="12"/>
  <c r="X152" i="5"/>
  <c r="AO123" i="12"/>
  <c r="Y123" i="12" s="1"/>
  <c r="AO122" i="12"/>
  <c r="Y122" i="12" s="1"/>
  <c r="Y124" i="12"/>
  <c r="E157" i="6"/>
  <c r="D157" i="12"/>
  <c r="E56" i="6"/>
  <c r="D56" i="12"/>
  <c r="D141" i="12"/>
  <c r="E141" i="6"/>
  <c r="N44" i="12"/>
  <c r="W21" i="12"/>
  <c r="X21" i="12"/>
  <c r="D134" i="12"/>
  <c r="E134" i="6"/>
  <c r="D68" i="12"/>
  <c r="E68" i="6"/>
  <c r="AB62" i="5"/>
  <c r="C50" i="8" s="1"/>
  <c r="D125" i="12"/>
  <c r="E125" i="6"/>
  <c r="N92" i="12"/>
  <c r="AB77" i="5"/>
  <c r="C62" i="8" s="1"/>
  <c r="Y32" i="12"/>
  <c r="H119" i="12"/>
  <c r="X119" i="5"/>
  <c r="AB16" i="5"/>
  <c r="AB14" i="11" s="1"/>
  <c r="AB17" i="5"/>
  <c r="C17" i="8" s="1"/>
  <c r="N56" i="12"/>
  <c r="E113" i="6"/>
  <c r="D113" i="12"/>
  <c r="AD52" i="8"/>
  <c r="AD50" i="8" s="1"/>
  <c r="G51" i="8"/>
  <c r="AC52" i="8"/>
  <c r="AC50" i="8" s="1"/>
  <c r="T52" i="8"/>
  <c r="T50" i="8" s="1"/>
  <c r="AB52" i="8"/>
  <c r="AB50" i="8" s="1"/>
  <c r="V52" i="8"/>
  <c r="V50" i="8" s="1"/>
  <c r="Z52" i="8"/>
  <c r="Z50" i="8" s="1"/>
  <c r="AE52" i="8"/>
  <c r="AE50" i="8" s="1"/>
  <c r="X52" i="8"/>
  <c r="X50" i="8" s="1"/>
  <c r="Y52" i="8"/>
  <c r="Y50" i="8" s="1"/>
  <c r="W52" i="8"/>
  <c r="W50" i="8" s="1"/>
  <c r="F50" i="8"/>
  <c r="U52" i="8"/>
  <c r="U50" i="8" s="1"/>
  <c r="AA52" i="8"/>
  <c r="AA50" i="8" s="1"/>
  <c r="D52" i="8"/>
  <c r="D50" i="8" s="1"/>
  <c r="F51" i="8"/>
  <c r="E31" i="6"/>
  <c r="D31" i="12"/>
  <c r="X39" i="12"/>
  <c r="W39" i="12"/>
  <c r="AC22" i="8"/>
  <c r="F21" i="8"/>
  <c r="X22" i="8"/>
  <c r="Y22" i="8"/>
  <c r="Z22" i="8"/>
  <c r="G20" i="8"/>
  <c r="I21" i="8" s="1"/>
  <c r="F20" i="8"/>
  <c r="W22" i="8"/>
  <c r="W16" i="8" s="1"/>
  <c r="W14" i="8" s="1"/>
  <c r="V22" i="8"/>
  <c r="V16" i="8" s="1"/>
  <c r="V14" i="8" s="1"/>
  <c r="G21" i="8"/>
  <c r="AA22" i="8"/>
  <c r="T22" i="8"/>
  <c r="T16" i="8" s="1"/>
  <c r="AD22" i="8"/>
  <c r="AD16" i="8" s="1"/>
  <c r="AD14" i="8" s="1"/>
  <c r="D22" i="8"/>
  <c r="AE22" i="8"/>
  <c r="AB22" i="8"/>
  <c r="U22" i="8"/>
  <c r="AB23" i="5"/>
  <c r="C20" i="8" s="1"/>
  <c r="Y36" i="12"/>
  <c r="N99" i="12"/>
  <c r="N38" i="12"/>
  <c r="C46" i="12"/>
  <c r="J46" i="12"/>
  <c r="L46" i="12"/>
  <c r="Y104" i="12"/>
  <c r="AB127" i="5"/>
  <c r="C89" i="8" s="1"/>
  <c r="D52" i="12"/>
  <c r="E52" i="6"/>
  <c r="L51" i="12"/>
  <c r="J51" i="12"/>
  <c r="C51" i="12"/>
  <c r="D88" i="12"/>
  <c r="E88" i="6"/>
  <c r="Y109" i="12"/>
  <c r="N154" i="12"/>
  <c r="N87" i="12"/>
  <c r="Y162" i="12"/>
  <c r="O40" i="5"/>
  <c r="C40" i="6"/>
  <c r="C40" i="12"/>
  <c r="J40" i="12"/>
  <c r="L40" i="12"/>
  <c r="N160" i="12"/>
  <c r="D102" i="12"/>
  <c r="E102" i="6"/>
  <c r="N66" i="12"/>
  <c r="Y34" i="8" l="1"/>
  <c r="Y32" i="8" s="1"/>
  <c r="AB85" i="8"/>
  <c r="AB83" i="8" s="1"/>
  <c r="Z25" i="8"/>
  <c r="Z23" i="8" s="1"/>
  <c r="Y163" i="12"/>
  <c r="Y156" i="12"/>
  <c r="AE16" i="8"/>
  <c r="AE14" i="8" s="1"/>
  <c r="X34" i="8"/>
  <c r="X32" i="8" s="1"/>
  <c r="V25" i="8"/>
  <c r="V23" i="8" s="1"/>
  <c r="D25" i="8"/>
  <c r="D23" i="8" s="1"/>
  <c r="N77" i="12"/>
  <c r="Z112" i="8"/>
  <c r="Z110" i="8" s="1"/>
  <c r="AB112" i="8"/>
  <c r="AB110" i="8" s="1"/>
  <c r="H110" i="8"/>
  <c r="Y142" i="12"/>
  <c r="AA16" i="8"/>
  <c r="AA14" i="8" s="1"/>
  <c r="X16" i="8"/>
  <c r="X14" i="8" s="1"/>
  <c r="AE34" i="8"/>
  <c r="AE32" i="8" s="1"/>
  <c r="D34" i="8"/>
  <c r="D32" i="8" s="1"/>
  <c r="Y27" i="12"/>
  <c r="X111" i="12"/>
  <c r="AC25" i="8"/>
  <c r="AC23" i="8" s="1"/>
  <c r="V34" i="8"/>
  <c r="V32" i="8" s="1"/>
  <c r="Y84" i="12"/>
  <c r="N67" i="12"/>
  <c r="AE25" i="8"/>
  <c r="AE23" i="8" s="1"/>
  <c r="AA34" i="8"/>
  <c r="AA32" i="8" s="1"/>
  <c r="K145" i="12"/>
  <c r="Z16" i="8"/>
  <c r="Z14" i="8" s="1"/>
  <c r="AC16" i="8"/>
  <c r="AC14" i="8" s="1"/>
  <c r="W34" i="8"/>
  <c r="W32" i="8" s="1"/>
  <c r="T34" i="8"/>
  <c r="T32" i="8" s="1"/>
  <c r="Y17" i="12"/>
  <c r="K40" i="12"/>
  <c r="K84" i="12"/>
  <c r="G71" i="8"/>
  <c r="I72" i="8" s="1"/>
  <c r="K146" i="12"/>
  <c r="G98" i="8"/>
  <c r="I99" i="8" s="1"/>
  <c r="U16" i="8"/>
  <c r="U14" i="8" s="1"/>
  <c r="G50" i="8"/>
  <c r="I51" i="8" s="1"/>
  <c r="Y16" i="8"/>
  <c r="Y14" i="8" s="1"/>
  <c r="D16" i="8"/>
  <c r="D14" i="8" s="1"/>
  <c r="AB16" i="8"/>
  <c r="AB14" i="8" s="1"/>
  <c r="X25" i="8"/>
  <c r="X23" i="8" s="1"/>
  <c r="K67" i="12"/>
  <c r="K123" i="12"/>
  <c r="K41" i="12"/>
  <c r="K16" i="12"/>
  <c r="K77" i="12"/>
  <c r="G53" i="8"/>
  <c r="I54" i="8" s="1"/>
  <c r="K122" i="12"/>
  <c r="G107" i="8"/>
  <c r="I108" i="8" s="1"/>
  <c r="T14" i="8"/>
  <c r="D83" i="8"/>
  <c r="T83" i="8"/>
  <c r="D145" i="12"/>
  <c r="H95" i="8"/>
  <c r="E145" i="6"/>
  <c r="V38" i="12"/>
  <c r="T38" i="12"/>
  <c r="U38" i="12"/>
  <c r="W115" i="12"/>
  <c r="X115" i="12"/>
  <c r="U134" i="12"/>
  <c r="V134" i="12"/>
  <c r="T134" i="12"/>
  <c r="U90" i="12"/>
  <c r="V90" i="12"/>
  <c r="T90" i="12"/>
  <c r="X42" i="12"/>
  <c r="W42" i="12"/>
  <c r="U155" i="12"/>
  <c r="T155" i="12"/>
  <c r="V155" i="12"/>
  <c r="D27" i="12"/>
  <c r="H23" i="8"/>
  <c r="E27" i="6"/>
  <c r="X145" i="12"/>
  <c r="W145" i="12"/>
  <c r="H86" i="8"/>
  <c r="D123" i="12"/>
  <c r="E123" i="6"/>
  <c r="D67" i="12"/>
  <c r="E67" i="6"/>
  <c r="H53" i="8"/>
  <c r="L83" i="5"/>
  <c r="I83" i="12"/>
  <c r="AM83" i="5"/>
  <c r="I83" i="5"/>
  <c r="Z83" i="5"/>
  <c r="AC83" i="5"/>
  <c r="X81" i="5"/>
  <c r="X80" i="5"/>
  <c r="H44" i="8"/>
  <c r="D51" i="12"/>
  <c r="E51" i="6"/>
  <c r="AB34" i="8"/>
  <c r="AB32" i="8" s="1"/>
  <c r="T54" i="12"/>
  <c r="U54" i="12"/>
  <c r="V54" i="12"/>
  <c r="V139" i="12"/>
  <c r="T139" i="12"/>
  <c r="U139" i="12"/>
  <c r="X86" i="12"/>
  <c r="W86" i="12"/>
  <c r="L120" i="5"/>
  <c r="AM120" i="5"/>
  <c r="Z120" i="5"/>
  <c r="I120" i="12"/>
  <c r="AC120" i="5"/>
  <c r="AO21" i="13"/>
  <c r="O21" i="13" s="1"/>
  <c r="N122" i="12"/>
  <c r="AN21" i="13"/>
  <c r="U21" i="13" s="1"/>
  <c r="W127" i="12"/>
  <c r="X127" i="12"/>
  <c r="X28" i="12"/>
  <c r="W28" i="12"/>
  <c r="X63" i="12"/>
  <c r="W63" i="12"/>
  <c r="W130" i="12"/>
  <c r="X130" i="12"/>
  <c r="D23" i="12"/>
  <c r="E23" i="6"/>
  <c r="H20" i="8"/>
  <c r="E62" i="6"/>
  <c r="D62" i="12"/>
  <c r="H50" i="8"/>
  <c r="T56" i="12"/>
  <c r="V56" i="12"/>
  <c r="U56" i="12"/>
  <c r="X19" i="12"/>
  <c r="W19" i="12"/>
  <c r="X52" i="12"/>
  <c r="W52" i="12"/>
  <c r="X107" i="12"/>
  <c r="W107" i="12"/>
  <c r="K27" i="12"/>
  <c r="AL14" i="13"/>
  <c r="M14" i="13" s="1"/>
  <c r="AK14" i="13"/>
  <c r="S14" i="13" s="1"/>
  <c r="K163" i="12"/>
  <c r="X43" i="12"/>
  <c r="W43" i="12"/>
  <c r="E77" i="6"/>
  <c r="D77" i="12"/>
  <c r="H62" i="8"/>
  <c r="W37" i="12"/>
  <c r="X37" i="12"/>
  <c r="X132" i="12"/>
  <c r="W132" i="12"/>
  <c r="D33" i="12"/>
  <c r="E33" i="6"/>
  <c r="H29" i="8"/>
  <c r="V39" i="12"/>
  <c r="T39" i="12"/>
  <c r="U39" i="12"/>
  <c r="T21" i="12"/>
  <c r="V21" i="12"/>
  <c r="U21" i="12"/>
  <c r="X124" i="12"/>
  <c r="W124" i="12"/>
  <c r="X113" i="12"/>
  <c r="W113" i="12"/>
  <c r="AK22" i="13"/>
  <c r="S22" i="13" s="1"/>
  <c r="AL22" i="13"/>
  <c r="M22" i="13" s="1"/>
  <c r="W142" i="12"/>
  <c r="X142" i="12"/>
  <c r="E40" i="6"/>
  <c r="D40" i="12"/>
  <c r="H32" i="8"/>
  <c r="X109" i="12"/>
  <c r="W109" i="12"/>
  <c r="AL16" i="13"/>
  <c r="M16" i="13" s="1"/>
  <c r="AK16" i="13"/>
  <c r="S16" i="13" s="1"/>
  <c r="V141" i="12"/>
  <c r="U141" i="12"/>
  <c r="T141" i="12"/>
  <c r="D16" i="12"/>
  <c r="E16" i="6"/>
  <c r="H14" i="8"/>
  <c r="T137" i="12"/>
  <c r="V137" i="12"/>
  <c r="U137" i="12"/>
  <c r="W143" i="12"/>
  <c r="X143" i="12"/>
  <c r="W162" i="12"/>
  <c r="X162" i="12"/>
  <c r="K51" i="12"/>
  <c r="X104" i="12"/>
  <c r="W104" i="12"/>
  <c r="N14" i="11"/>
  <c r="X123" i="12"/>
  <c r="W123" i="12"/>
  <c r="W78" i="12"/>
  <c r="X78" i="12"/>
  <c r="W68" i="12"/>
  <c r="X68" i="12"/>
  <c r="Y16" i="12"/>
  <c r="W164" i="12"/>
  <c r="X164" i="12"/>
  <c r="K156" i="12"/>
  <c r="V66" i="12"/>
  <c r="U66" i="12"/>
  <c r="T66" i="12"/>
  <c r="W55" i="12"/>
  <c r="X55" i="12"/>
  <c r="T153" i="12"/>
  <c r="U153" i="12"/>
  <c r="V153" i="12"/>
  <c r="T112" i="12"/>
  <c r="U112" i="12"/>
  <c r="V112" i="12"/>
  <c r="U73" i="12"/>
  <c r="V73" i="12"/>
  <c r="T73" i="12"/>
  <c r="V44" i="12"/>
  <c r="U44" i="12"/>
  <c r="T44" i="12"/>
  <c r="V95" i="12"/>
  <c r="T95" i="12"/>
  <c r="U95" i="12"/>
  <c r="W40" i="12"/>
  <c r="X40" i="12"/>
  <c r="N51" i="12"/>
  <c r="D15" i="13"/>
  <c r="Y33" i="12"/>
  <c r="I61" i="12"/>
  <c r="L61" i="5"/>
  <c r="AM61" i="5"/>
  <c r="Z61" i="5"/>
  <c r="I61" i="5"/>
  <c r="AC61" i="5"/>
  <c r="X58" i="5"/>
  <c r="X50" i="5"/>
  <c r="X15" i="5"/>
  <c r="V25" i="12"/>
  <c r="T25" i="12"/>
  <c r="U25" i="12"/>
  <c r="T136" i="12"/>
  <c r="V136" i="12"/>
  <c r="U136" i="12"/>
  <c r="V101" i="12"/>
  <c r="T101" i="12"/>
  <c r="U101" i="12"/>
  <c r="D41" i="12"/>
  <c r="E41" i="6"/>
  <c r="H35" i="8"/>
  <c r="U87" i="12"/>
  <c r="V87" i="12"/>
  <c r="T87" i="12"/>
  <c r="K62" i="12"/>
  <c r="K142" i="12"/>
  <c r="V96" i="12"/>
  <c r="T96" i="12"/>
  <c r="U96" i="12"/>
  <c r="T125" i="12"/>
  <c r="U125" i="12"/>
  <c r="V125" i="12"/>
  <c r="W156" i="12"/>
  <c r="X156" i="12"/>
  <c r="D14" i="13"/>
  <c r="V14" i="13"/>
  <c r="V15" i="13" s="1"/>
  <c r="V16" i="13" s="1"/>
  <c r="AM76" i="5"/>
  <c r="I76" i="12"/>
  <c r="L76" i="5"/>
  <c r="C76" i="6" s="1"/>
  <c r="Z76" i="5"/>
  <c r="AC76" i="5"/>
  <c r="N145" i="12"/>
  <c r="AO22" i="13"/>
  <c r="O22" i="13" s="1"/>
  <c r="AN22" i="13"/>
  <c r="U22" i="13" s="1"/>
  <c r="X27" i="12"/>
  <c r="W27" i="12"/>
  <c r="W62" i="12"/>
  <c r="X62" i="12"/>
  <c r="X100" i="12"/>
  <c r="W100" i="12"/>
  <c r="W75" i="12"/>
  <c r="X75" i="12"/>
  <c r="X82" i="12"/>
  <c r="W82" i="12"/>
  <c r="K127" i="12"/>
  <c r="X159" i="12"/>
  <c r="W159" i="12"/>
  <c r="X20" i="12"/>
  <c r="W20" i="12"/>
  <c r="H83" i="8"/>
  <c r="D122" i="12"/>
  <c r="E122" i="6"/>
  <c r="AB97" i="8"/>
  <c r="AB95" i="8" s="1"/>
  <c r="Y25" i="8"/>
  <c r="Y23" i="8" s="1"/>
  <c r="N27" i="12"/>
  <c r="AN15" i="13"/>
  <c r="U15" i="13" s="1"/>
  <c r="AO15" i="13"/>
  <c r="O15" i="13" s="1"/>
  <c r="X118" i="12"/>
  <c r="W118" i="12"/>
  <c r="W144" i="12"/>
  <c r="X144" i="12"/>
  <c r="W49" i="12"/>
  <c r="X49" i="12"/>
  <c r="K17" i="12"/>
  <c r="X22" i="12"/>
  <c r="W22" i="12"/>
  <c r="W36" i="12"/>
  <c r="X36" i="12"/>
  <c r="W32" i="12"/>
  <c r="X32" i="12"/>
  <c r="X122" i="12"/>
  <c r="W122" i="12"/>
  <c r="T79" i="12"/>
  <c r="U79" i="12"/>
  <c r="V79" i="12"/>
  <c r="X77" i="12"/>
  <c r="W77" i="12"/>
  <c r="W18" i="12"/>
  <c r="X18" i="12"/>
  <c r="E163" i="6"/>
  <c r="D163" i="12"/>
  <c r="W89" i="12"/>
  <c r="X89" i="12"/>
  <c r="K46" i="12"/>
  <c r="AM119" i="5"/>
  <c r="L119" i="5"/>
  <c r="I119" i="5"/>
  <c r="I120" i="5" s="1"/>
  <c r="I121" i="5" s="1"/>
  <c r="O121" i="5" s="1"/>
  <c r="I119" i="12"/>
  <c r="Z119" i="5"/>
  <c r="AC119" i="5"/>
  <c r="X116" i="5"/>
  <c r="X117" i="5"/>
  <c r="AM152" i="5"/>
  <c r="L152" i="5"/>
  <c r="X150" i="5"/>
  <c r="X151" i="5"/>
  <c r="I152" i="12"/>
  <c r="I152" i="5"/>
  <c r="I153" i="5" s="1"/>
  <c r="Z152" i="5"/>
  <c r="AC152" i="5"/>
  <c r="W26" i="12"/>
  <c r="X26" i="12"/>
  <c r="W94" i="12"/>
  <c r="X94" i="12"/>
  <c r="X67" i="12"/>
  <c r="W67" i="12"/>
  <c r="X17" i="12"/>
  <c r="W17" i="12"/>
  <c r="X163" i="12"/>
  <c r="W163" i="12"/>
  <c r="AK15" i="13"/>
  <c r="S15" i="13" s="1"/>
  <c r="AL15" i="13"/>
  <c r="M15" i="13" s="1"/>
  <c r="T53" i="12"/>
  <c r="V53" i="12"/>
  <c r="U53" i="12"/>
  <c r="X110" i="12"/>
  <c r="W110" i="12"/>
  <c r="H38" i="8"/>
  <c r="D46" i="12"/>
  <c r="E46" i="6"/>
  <c r="T121" i="12"/>
  <c r="V121" i="12"/>
  <c r="U121" i="12"/>
  <c r="T97" i="12"/>
  <c r="V97" i="12"/>
  <c r="U97" i="12"/>
  <c r="V138" i="12"/>
  <c r="T138" i="12"/>
  <c r="U138" i="12"/>
  <c r="E127" i="6"/>
  <c r="H89" i="8"/>
  <c r="D127" i="12"/>
  <c r="Y46" i="12"/>
  <c r="T30" i="12"/>
  <c r="V30" i="12"/>
  <c r="U30" i="12"/>
  <c r="U64" i="12"/>
  <c r="T64" i="12"/>
  <c r="V64" i="12"/>
  <c r="X34" i="12"/>
  <c r="W34" i="12"/>
  <c r="U126" i="12"/>
  <c r="T126" i="12"/>
  <c r="V126" i="12"/>
  <c r="D146" i="12"/>
  <c r="E146" i="6"/>
  <c r="H98" i="8"/>
  <c r="X147" i="12"/>
  <c r="W147" i="12"/>
  <c r="K28" i="12"/>
  <c r="W84" i="12"/>
  <c r="X84" i="12"/>
  <c r="H107" i="8"/>
  <c r="D156" i="12"/>
  <c r="E156" i="6"/>
  <c r="W99" i="12"/>
  <c r="X99" i="12"/>
  <c r="K23" i="12"/>
  <c r="H92" i="8"/>
  <c r="D142" i="12"/>
  <c r="E142" i="6"/>
  <c r="V92" i="12"/>
  <c r="T92" i="12"/>
  <c r="U92" i="12"/>
  <c r="AM114" i="5"/>
  <c r="I114" i="5"/>
  <c r="I115" i="5" s="1"/>
  <c r="O115" i="5" s="1"/>
  <c r="Z114" i="5"/>
  <c r="I114" i="12"/>
  <c r="L114" i="5"/>
  <c r="AC114" i="5"/>
  <c r="X98" i="5"/>
  <c r="X131" i="12"/>
  <c r="W131" i="12"/>
  <c r="V57" i="12"/>
  <c r="T57" i="12"/>
  <c r="U57" i="12"/>
  <c r="W59" i="12"/>
  <c r="X59" i="12"/>
  <c r="X157" i="12"/>
  <c r="W157" i="12"/>
  <c r="V35" i="12"/>
  <c r="T35" i="12"/>
  <c r="U35" i="12"/>
  <c r="E28" i="6"/>
  <c r="H26" i="8"/>
  <c r="D28" i="12"/>
  <c r="T31" i="12"/>
  <c r="V31" i="12"/>
  <c r="U31" i="12"/>
  <c r="U88" i="12"/>
  <c r="V88" i="12"/>
  <c r="T88" i="12"/>
  <c r="T111" i="12"/>
  <c r="V111" i="12"/>
  <c r="U111" i="12"/>
  <c r="X161" i="12"/>
  <c r="W161" i="12"/>
  <c r="W45" i="12"/>
  <c r="X45" i="12"/>
  <c r="AO16" i="13"/>
  <c r="O16" i="13" s="1"/>
  <c r="AN16" i="13"/>
  <c r="U16" i="13" s="1"/>
  <c r="N40" i="12"/>
  <c r="W91" i="12"/>
  <c r="X91" i="12"/>
  <c r="C98" i="8"/>
  <c r="N127" i="12"/>
  <c r="W25" i="8"/>
  <c r="W23" i="8" s="1"/>
  <c r="N28" i="12"/>
  <c r="X24" i="12"/>
  <c r="W24" i="12"/>
  <c r="K33" i="12"/>
  <c r="W140" i="12"/>
  <c r="X140" i="12"/>
  <c r="U74" i="12"/>
  <c r="V74" i="12"/>
  <c r="T74" i="12"/>
  <c r="X135" i="12"/>
  <c r="W135" i="12"/>
  <c r="U60" i="12"/>
  <c r="V60" i="12"/>
  <c r="T60" i="12"/>
  <c r="T158" i="12"/>
  <c r="V158" i="12"/>
  <c r="U158" i="12"/>
  <c r="T148" i="12"/>
  <c r="V148" i="12"/>
  <c r="U148" i="12"/>
  <c r="W41" i="12"/>
  <c r="X41" i="12"/>
  <c r="T106" i="12"/>
  <c r="U106" i="12"/>
  <c r="V106" i="12"/>
  <c r="X47" i="12"/>
  <c r="W47" i="12"/>
  <c r="N16" i="12"/>
  <c r="AO14" i="13"/>
  <c r="O14" i="13" s="1"/>
  <c r="AN14" i="13"/>
  <c r="U14" i="13" s="1"/>
  <c r="X146" i="12"/>
  <c r="W146" i="12"/>
  <c r="V69" i="12"/>
  <c r="U69" i="12"/>
  <c r="T69" i="12"/>
  <c r="W85" i="12"/>
  <c r="X85" i="12"/>
  <c r="V93" i="12"/>
  <c r="U93" i="12"/>
  <c r="T93" i="12"/>
  <c r="V160" i="12"/>
  <c r="T160" i="12"/>
  <c r="U160" i="12"/>
  <c r="V149" i="12"/>
  <c r="U149" i="12"/>
  <c r="T149" i="12"/>
  <c r="T133" i="12"/>
  <c r="U133" i="12"/>
  <c r="V133" i="12"/>
  <c r="T129" i="12"/>
  <c r="V129" i="12"/>
  <c r="U129" i="12"/>
  <c r="U102" i="12"/>
  <c r="T102" i="12"/>
  <c r="V102" i="12"/>
  <c r="V105" i="12"/>
  <c r="U105" i="12"/>
  <c r="T105" i="12"/>
  <c r="N146" i="12"/>
  <c r="W128" i="12"/>
  <c r="X128" i="12"/>
  <c r="X29" i="12"/>
  <c r="W29" i="12"/>
  <c r="U154" i="12"/>
  <c r="T154" i="12"/>
  <c r="V154" i="12"/>
  <c r="U65" i="12"/>
  <c r="V65" i="12"/>
  <c r="T65" i="12"/>
  <c r="AK21" i="13"/>
  <c r="S21" i="13" s="1"/>
  <c r="AL21" i="13"/>
  <c r="M21" i="13" s="1"/>
  <c r="N41" i="12"/>
  <c r="Y51" i="12"/>
  <c r="W48" i="12"/>
  <c r="X48" i="12"/>
  <c r="D84" i="12"/>
  <c r="E84" i="6"/>
  <c r="H71" i="8"/>
  <c r="U25" i="8"/>
  <c r="U23" i="8" s="1"/>
  <c r="Y23" i="12"/>
  <c r="W103" i="12"/>
  <c r="X103" i="12"/>
  <c r="X108" i="12"/>
  <c r="W108" i="12"/>
  <c r="D17" i="12"/>
  <c r="E17" i="6"/>
  <c r="H17" i="8"/>
  <c r="I72" i="12"/>
  <c r="X71" i="5"/>
  <c r="X70" i="5"/>
  <c r="Z72" i="5"/>
  <c r="AM72" i="5"/>
  <c r="L72" i="5"/>
  <c r="I72" i="5"/>
  <c r="I73" i="5" s="1"/>
  <c r="AC72" i="5"/>
  <c r="G110" i="8" l="1"/>
  <c r="I111" i="8" s="1"/>
  <c r="U108" i="12"/>
  <c r="T108" i="12"/>
  <c r="V108" i="12"/>
  <c r="U94" i="12"/>
  <c r="V94" i="12"/>
  <c r="T94" i="12"/>
  <c r="D121" i="12"/>
  <c r="E121" i="6"/>
  <c r="U36" i="12"/>
  <c r="T36" i="12"/>
  <c r="V36" i="12"/>
  <c r="T82" i="12"/>
  <c r="V82" i="12"/>
  <c r="U82" i="12"/>
  <c r="V100" i="12"/>
  <c r="T100" i="12"/>
  <c r="U100" i="12"/>
  <c r="N22" i="13"/>
  <c r="P22" i="13"/>
  <c r="AB76" i="5"/>
  <c r="V156" i="12"/>
  <c r="U156" i="12"/>
  <c r="T156" i="12"/>
  <c r="V68" i="12"/>
  <c r="T68" i="12"/>
  <c r="U68" i="12"/>
  <c r="U63" i="12"/>
  <c r="T63" i="12"/>
  <c r="V63" i="12"/>
  <c r="AB120" i="5"/>
  <c r="R68" i="8"/>
  <c r="AM81" i="5"/>
  <c r="AC81" i="5"/>
  <c r="Z81" i="5"/>
  <c r="I81" i="12"/>
  <c r="L81" i="5"/>
  <c r="AB72" i="5"/>
  <c r="U128" i="12"/>
  <c r="V128" i="12"/>
  <c r="T128" i="12"/>
  <c r="V85" i="12"/>
  <c r="T85" i="12"/>
  <c r="U85" i="12"/>
  <c r="U146" i="12"/>
  <c r="V146" i="12"/>
  <c r="T146" i="12"/>
  <c r="P14" i="13"/>
  <c r="N14" i="13"/>
  <c r="V41" i="12"/>
  <c r="T41" i="12"/>
  <c r="U41" i="12"/>
  <c r="V140" i="12"/>
  <c r="T140" i="12"/>
  <c r="U140" i="12"/>
  <c r="V161" i="12"/>
  <c r="T161" i="12"/>
  <c r="U161" i="12"/>
  <c r="U59" i="12"/>
  <c r="V59" i="12"/>
  <c r="T59" i="12"/>
  <c r="V131" i="12"/>
  <c r="U131" i="12"/>
  <c r="T131" i="12"/>
  <c r="O114" i="5"/>
  <c r="C114" i="6"/>
  <c r="T147" i="12"/>
  <c r="U147" i="12"/>
  <c r="V147" i="12"/>
  <c r="V34" i="12"/>
  <c r="T34" i="12"/>
  <c r="U34" i="12"/>
  <c r="W46" i="12"/>
  <c r="X46" i="12"/>
  <c r="V110" i="12"/>
  <c r="T110" i="12"/>
  <c r="U110" i="12"/>
  <c r="V163" i="12"/>
  <c r="U163" i="12"/>
  <c r="T163" i="12"/>
  <c r="T67" i="12"/>
  <c r="U67" i="12"/>
  <c r="V67" i="12"/>
  <c r="I154" i="5"/>
  <c r="O153" i="5"/>
  <c r="C152" i="6"/>
  <c r="O152" i="5"/>
  <c r="C119" i="6"/>
  <c r="O119" i="5"/>
  <c r="V89" i="12"/>
  <c r="U89" i="12"/>
  <c r="T89" i="12"/>
  <c r="T18" i="12"/>
  <c r="U18" i="12"/>
  <c r="V18" i="12"/>
  <c r="V22" i="12"/>
  <c r="T22" i="12"/>
  <c r="U22" i="12"/>
  <c r="U49" i="12"/>
  <c r="T49" i="12"/>
  <c r="V49" i="12"/>
  <c r="V159" i="12"/>
  <c r="T159" i="12"/>
  <c r="U159" i="12"/>
  <c r="AM50" i="5"/>
  <c r="R41" i="8"/>
  <c r="Z50" i="5"/>
  <c r="AC50" i="5"/>
  <c r="O17" i="11"/>
  <c r="L50" i="5"/>
  <c r="I50" i="12"/>
  <c r="AB61" i="5"/>
  <c r="W33" i="12"/>
  <c r="X33" i="12"/>
  <c r="V164" i="12"/>
  <c r="T164" i="12"/>
  <c r="U164" i="12"/>
  <c r="U143" i="12"/>
  <c r="V143" i="12"/>
  <c r="T143" i="12"/>
  <c r="T132" i="12"/>
  <c r="V132" i="12"/>
  <c r="U132" i="12"/>
  <c r="T52" i="12"/>
  <c r="U52" i="12"/>
  <c r="V52" i="12"/>
  <c r="V127" i="12"/>
  <c r="U127" i="12"/>
  <c r="T127" i="12"/>
  <c r="N21" i="13"/>
  <c r="P21" i="13"/>
  <c r="O83" i="12"/>
  <c r="M83" i="12"/>
  <c r="AO83" i="12"/>
  <c r="C83" i="12"/>
  <c r="T145" i="12"/>
  <c r="U145" i="12"/>
  <c r="V145" i="12"/>
  <c r="U42" i="12"/>
  <c r="V42" i="12"/>
  <c r="T42" i="12"/>
  <c r="M72" i="12"/>
  <c r="C72" i="12"/>
  <c r="AO72" i="12"/>
  <c r="O72" i="12"/>
  <c r="X23" i="12"/>
  <c r="W23" i="12"/>
  <c r="U45" i="12"/>
  <c r="T45" i="12"/>
  <c r="V45" i="12"/>
  <c r="AB152" i="5"/>
  <c r="AC116" i="5"/>
  <c r="O20" i="11"/>
  <c r="AM116" i="5"/>
  <c r="Z116" i="5"/>
  <c r="L116" i="5"/>
  <c r="R77" i="8"/>
  <c r="I116" i="12"/>
  <c r="T118" i="12"/>
  <c r="V118" i="12"/>
  <c r="U118" i="12"/>
  <c r="U46" i="10"/>
  <c r="K46" i="10"/>
  <c r="AE46" i="10"/>
  <c r="M46" i="10"/>
  <c r="AM15" i="5"/>
  <c r="W46" i="10"/>
  <c r="Y46" i="10"/>
  <c r="S46" i="10"/>
  <c r="I46" i="10"/>
  <c r="O46" i="10"/>
  <c r="Q46" i="10"/>
  <c r="AC46" i="10"/>
  <c r="AA46" i="10"/>
  <c r="Z15" i="5"/>
  <c r="M61" i="12"/>
  <c r="O61" i="12"/>
  <c r="C61" i="12"/>
  <c r="AO61" i="12"/>
  <c r="T142" i="12"/>
  <c r="U142" i="12"/>
  <c r="V142" i="12"/>
  <c r="T113" i="12"/>
  <c r="U113" i="12"/>
  <c r="V113" i="12"/>
  <c r="V37" i="12"/>
  <c r="U37" i="12"/>
  <c r="T37" i="12"/>
  <c r="T43" i="12"/>
  <c r="V43" i="12"/>
  <c r="U43" i="12"/>
  <c r="I74" i="5"/>
  <c r="O73" i="5"/>
  <c r="Z70" i="5"/>
  <c r="AC70" i="5"/>
  <c r="L70" i="5"/>
  <c r="I70" i="12"/>
  <c r="AM70" i="5"/>
  <c r="R56" i="8"/>
  <c r="O18" i="11"/>
  <c r="U48" i="12"/>
  <c r="T48" i="12"/>
  <c r="V48" i="12"/>
  <c r="V29" i="12"/>
  <c r="T29" i="12"/>
  <c r="U29" i="12"/>
  <c r="V91" i="12"/>
  <c r="U91" i="12"/>
  <c r="T91" i="12"/>
  <c r="N16" i="13"/>
  <c r="P16" i="13"/>
  <c r="V157" i="12"/>
  <c r="U157" i="12"/>
  <c r="T157" i="12"/>
  <c r="M114" i="12"/>
  <c r="M98" i="12" s="1"/>
  <c r="O114" i="12"/>
  <c r="C114" i="12"/>
  <c r="AO114" i="12"/>
  <c r="V99" i="12"/>
  <c r="T99" i="12"/>
  <c r="U99" i="12"/>
  <c r="V26" i="12"/>
  <c r="T26" i="12"/>
  <c r="U26" i="12"/>
  <c r="M152" i="12"/>
  <c r="O152" i="12"/>
  <c r="C152" i="12"/>
  <c r="AO152" i="12"/>
  <c r="AB119" i="5"/>
  <c r="U77" i="12"/>
  <c r="T77" i="12"/>
  <c r="V77" i="12"/>
  <c r="V32" i="12"/>
  <c r="U32" i="12"/>
  <c r="T32" i="12"/>
  <c r="C76" i="12"/>
  <c r="O76" i="12"/>
  <c r="M76" i="12"/>
  <c r="AO76" i="12"/>
  <c r="I58" i="12"/>
  <c r="R47" i="8"/>
  <c r="AC58" i="5"/>
  <c r="Z58" i="5"/>
  <c r="L58" i="5"/>
  <c r="AM58" i="5"/>
  <c r="V40" i="12"/>
  <c r="T40" i="12"/>
  <c r="U40" i="12"/>
  <c r="X16" i="12"/>
  <c r="W16" i="12"/>
  <c r="V78" i="12"/>
  <c r="U78" i="12"/>
  <c r="T78" i="12"/>
  <c r="U109" i="12"/>
  <c r="T109" i="12"/>
  <c r="V109" i="12"/>
  <c r="V124" i="12"/>
  <c r="U124" i="12"/>
  <c r="T124" i="12"/>
  <c r="U28" i="12"/>
  <c r="T28" i="12"/>
  <c r="V28" i="12"/>
  <c r="C120" i="6"/>
  <c r="O120" i="5"/>
  <c r="AB83" i="5"/>
  <c r="O83" i="5"/>
  <c r="C83" i="6"/>
  <c r="U115" i="12"/>
  <c r="T115" i="12"/>
  <c r="V115" i="12"/>
  <c r="E115" i="6"/>
  <c r="D115" i="12"/>
  <c r="O23" i="11"/>
  <c r="L150" i="5"/>
  <c r="Z150" i="5"/>
  <c r="R101" i="8"/>
  <c r="I150" i="12"/>
  <c r="AC150" i="5"/>
  <c r="AM150" i="5"/>
  <c r="U27" i="12"/>
  <c r="T27" i="12"/>
  <c r="V27" i="12"/>
  <c r="O72" i="5"/>
  <c r="C72" i="6"/>
  <c r="R59" i="8"/>
  <c r="Z71" i="5"/>
  <c r="AM71" i="5"/>
  <c r="AC71" i="5"/>
  <c r="I71" i="12"/>
  <c r="L71" i="5"/>
  <c r="U103" i="12"/>
  <c r="V103" i="12"/>
  <c r="T103" i="12"/>
  <c r="X51" i="12"/>
  <c r="W51" i="12"/>
  <c r="T47" i="12"/>
  <c r="V47" i="12"/>
  <c r="U47" i="12"/>
  <c r="V135" i="12"/>
  <c r="T135" i="12"/>
  <c r="U135" i="12"/>
  <c r="T24" i="12"/>
  <c r="V24" i="12"/>
  <c r="U24" i="12"/>
  <c r="AM98" i="5"/>
  <c r="AC98" i="5"/>
  <c r="Z98" i="5"/>
  <c r="I98" i="12"/>
  <c r="L98" i="5"/>
  <c r="R74" i="8"/>
  <c r="AB114" i="5"/>
  <c r="AB98" i="5" s="1"/>
  <c r="C71" i="8" s="1"/>
  <c r="T84" i="12"/>
  <c r="V84" i="12"/>
  <c r="U84" i="12"/>
  <c r="U17" i="12"/>
  <c r="V17" i="12"/>
  <c r="T17" i="12"/>
  <c r="R104" i="8"/>
  <c r="AM151" i="5"/>
  <c r="I151" i="12"/>
  <c r="AC151" i="5"/>
  <c r="Z151" i="5"/>
  <c r="L151" i="5"/>
  <c r="R80" i="8"/>
  <c r="I117" i="12"/>
  <c r="Z117" i="5"/>
  <c r="AC117" i="5"/>
  <c r="AM117" i="5"/>
  <c r="L117" i="5"/>
  <c r="AO119" i="12"/>
  <c r="C119" i="12"/>
  <c r="O119" i="12"/>
  <c r="M119" i="12"/>
  <c r="T122" i="12"/>
  <c r="U122" i="12"/>
  <c r="V122" i="12"/>
  <c r="V144" i="12"/>
  <c r="T144" i="12"/>
  <c r="U144" i="12"/>
  <c r="N15" i="13"/>
  <c r="P15" i="13"/>
  <c r="T20" i="12"/>
  <c r="U20" i="12"/>
  <c r="V20" i="12"/>
  <c r="T75" i="12"/>
  <c r="V75" i="12"/>
  <c r="U75" i="12"/>
  <c r="V62" i="12"/>
  <c r="T62" i="12"/>
  <c r="U62" i="12"/>
  <c r="O61" i="5"/>
  <c r="C61" i="6"/>
  <c r="U55" i="12"/>
  <c r="T55" i="12"/>
  <c r="V55" i="12"/>
  <c r="V123" i="12"/>
  <c r="U123" i="12"/>
  <c r="T123" i="12"/>
  <c r="T104" i="12"/>
  <c r="V104" i="12"/>
  <c r="U104" i="12"/>
  <c r="V162" i="12"/>
  <c r="U162" i="12"/>
  <c r="T162" i="12"/>
  <c r="T107" i="12"/>
  <c r="U107" i="12"/>
  <c r="V107" i="12"/>
  <c r="V19" i="12"/>
  <c r="T19" i="12"/>
  <c r="U19" i="12"/>
  <c r="V130" i="12"/>
  <c r="T130" i="12"/>
  <c r="U130" i="12"/>
  <c r="O120" i="12"/>
  <c r="M120" i="12"/>
  <c r="C120" i="12"/>
  <c r="AO120" i="12"/>
  <c r="V86" i="12"/>
  <c r="T86" i="12"/>
  <c r="U86" i="12"/>
  <c r="AC80" i="5"/>
  <c r="I80" i="12"/>
  <c r="L80" i="5"/>
  <c r="R65" i="8"/>
  <c r="Z80" i="5"/>
  <c r="AM80" i="5"/>
  <c r="O19" i="11"/>
  <c r="Y76" i="12" l="1"/>
  <c r="N119" i="12"/>
  <c r="O117" i="12"/>
  <c r="O116" i="12"/>
  <c r="L71" i="12"/>
  <c r="J71" i="12"/>
  <c r="C71" i="12"/>
  <c r="AO151" i="12"/>
  <c r="Y152" i="12"/>
  <c r="AO150" i="12"/>
  <c r="C70" i="6"/>
  <c r="O70" i="5"/>
  <c r="AE44" i="10"/>
  <c r="AE43" i="10" s="1"/>
  <c r="AE45" i="10"/>
  <c r="O71" i="12"/>
  <c r="O70" i="12"/>
  <c r="N72" i="12"/>
  <c r="O151" i="5"/>
  <c r="C151" i="6"/>
  <c r="C98" i="12"/>
  <c r="L98" i="12"/>
  <c r="J98" i="12"/>
  <c r="F101" i="8"/>
  <c r="F102" i="8"/>
  <c r="G102" i="8"/>
  <c r="U16" i="12"/>
  <c r="V16" i="12"/>
  <c r="T16" i="12"/>
  <c r="F56" i="8"/>
  <c r="F57" i="8"/>
  <c r="G57" i="8"/>
  <c r="G56" i="8"/>
  <c r="I57" i="8" s="1"/>
  <c r="Y61" i="12"/>
  <c r="AO50" i="12"/>
  <c r="AO58" i="12"/>
  <c r="O45" i="10"/>
  <c r="O44" i="10"/>
  <c r="O43" i="10" s="1"/>
  <c r="W45" i="10"/>
  <c r="W44" i="10"/>
  <c r="W43" i="10" s="1"/>
  <c r="K45" i="10"/>
  <c r="K44" i="10"/>
  <c r="K43" i="10" s="1"/>
  <c r="AO71" i="12"/>
  <c r="Y71" i="12" s="1"/>
  <c r="AO70" i="12"/>
  <c r="Y72" i="12"/>
  <c r="N83" i="12"/>
  <c r="O81" i="12"/>
  <c r="O80" i="12"/>
  <c r="U33" i="12"/>
  <c r="V33" i="12"/>
  <c r="T33" i="12"/>
  <c r="C50" i="6"/>
  <c r="O50" i="5"/>
  <c r="G42" i="8"/>
  <c r="G41" i="8"/>
  <c r="I42" i="8" s="1"/>
  <c r="F42" i="8"/>
  <c r="F41" i="8"/>
  <c r="Q114" i="8"/>
  <c r="H114" i="8" s="1"/>
  <c r="E152" i="6"/>
  <c r="D152" i="12"/>
  <c r="O81" i="5"/>
  <c r="C81" i="6"/>
  <c r="O98" i="5"/>
  <c r="C98" i="6"/>
  <c r="F59" i="8"/>
  <c r="G60" i="8"/>
  <c r="T61" i="8"/>
  <c r="T58" i="8" s="1"/>
  <c r="T56" i="8" s="1"/>
  <c r="AC61" i="8"/>
  <c r="AC59" i="8" s="1"/>
  <c r="V61" i="8"/>
  <c r="V59" i="8" s="1"/>
  <c r="W61" i="8"/>
  <c r="W59" i="8" s="1"/>
  <c r="AD61" i="8"/>
  <c r="AD59" i="8" s="1"/>
  <c r="AB61" i="8"/>
  <c r="AB58" i="8" s="1"/>
  <c r="AB56" i="8" s="1"/>
  <c r="X61" i="8"/>
  <c r="X59" i="8" s="1"/>
  <c r="D61" i="8"/>
  <c r="D58" i="8" s="1"/>
  <c r="D56" i="8" s="1"/>
  <c r="AE61" i="8"/>
  <c r="AE59" i="8" s="1"/>
  <c r="U61" i="8"/>
  <c r="U59" i="8" s="1"/>
  <c r="AA61" i="8"/>
  <c r="AA59" i="8" s="1"/>
  <c r="Z61" i="8"/>
  <c r="Z59" i="8" s="1"/>
  <c r="F60" i="8"/>
  <c r="Y61" i="8"/>
  <c r="Y59" i="8" s="1"/>
  <c r="AA58" i="8"/>
  <c r="AA56" i="8" s="1"/>
  <c r="J150" i="12"/>
  <c r="L150" i="12"/>
  <c r="C150" i="12"/>
  <c r="W76" i="12"/>
  <c r="X76" i="12"/>
  <c r="Q44" i="10"/>
  <c r="Q43" i="10" s="1"/>
  <c r="Q45" i="10"/>
  <c r="I155" i="5"/>
  <c r="O155" i="5" s="1"/>
  <c r="O154" i="5"/>
  <c r="AB71" i="5"/>
  <c r="C59" i="8" s="1"/>
  <c r="AB70" i="5"/>
  <c r="AB18" i="11" s="1"/>
  <c r="N18" i="11" s="1"/>
  <c r="O80" i="5"/>
  <c r="C80" i="6"/>
  <c r="Y119" i="12"/>
  <c r="AO117" i="12"/>
  <c r="Y117" i="12" s="1"/>
  <c r="AO116" i="12"/>
  <c r="F104" i="8"/>
  <c r="AA106" i="8"/>
  <c r="AA104" i="8" s="1"/>
  <c r="Z106" i="8"/>
  <c r="Z104" i="8" s="1"/>
  <c r="D106" i="8"/>
  <c r="D104" i="8" s="1"/>
  <c r="U106" i="8"/>
  <c r="U104" i="8" s="1"/>
  <c r="T106" i="8"/>
  <c r="T104" i="8" s="1"/>
  <c r="AE106" i="8"/>
  <c r="AE104" i="8" s="1"/>
  <c r="W106" i="8"/>
  <c r="W104" i="8" s="1"/>
  <c r="F105" i="8"/>
  <c r="Y106" i="8"/>
  <c r="Y104" i="8" s="1"/>
  <c r="AD106" i="8"/>
  <c r="AD104" i="8" s="1"/>
  <c r="AB106" i="8"/>
  <c r="AB104" i="8" s="1"/>
  <c r="G105" i="8"/>
  <c r="V106" i="8"/>
  <c r="V104" i="8" s="1"/>
  <c r="AC106" i="8"/>
  <c r="AC104" i="8" s="1"/>
  <c r="X106" i="8"/>
  <c r="X104" i="8" s="1"/>
  <c r="U51" i="12"/>
  <c r="V51" i="12"/>
  <c r="T51" i="12"/>
  <c r="D72" i="12"/>
  <c r="E72" i="6"/>
  <c r="AB81" i="5"/>
  <c r="C68" i="8" s="1"/>
  <c r="AB80" i="5"/>
  <c r="AB19" i="11" s="1"/>
  <c r="N19" i="11" s="1"/>
  <c r="W49" i="8"/>
  <c r="W47" i="8" s="1"/>
  <c r="AD49" i="8"/>
  <c r="AD47" i="8" s="1"/>
  <c r="T49" i="8"/>
  <c r="T47" i="8" s="1"/>
  <c r="V49" i="8"/>
  <c r="V47" i="8" s="1"/>
  <c r="AC49" i="8"/>
  <c r="AC47" i="8" s="1"/>
  <c r="AA49" i="8"/>
  <c r="AA47" i="8" s="1"/>
  <c r="X49" i="8"/>
  <c r="X47" i="8" s="1"/>
  <c r="G48" i="8"/>
  <c r="AE49" i="8"/>
  <c r="AE47" i="8" s="1"/>
  <c r="Y49" i="8"/>
  <c r="Y47" i="8" s="1"/>
  <c r="D49" i="8"/>
  <c r="D47" i="8" s="1"/>
  <c r="AB49" i="8"/>
  <c r="AB47" i="8" s="1"/>
  <c r="F47" i="8"/>
  <c r="Z49" i="8"/>
  <c r="Z47" i="8" s="1"/>
  <c r="F48" i="8"/>
  <c r="U49" i="8"/>
  <c r="U47" i="8" s="1"/>
  <c r="N76" i="12"/>
  <c r="N152" i="12"/>
  <c r="O151" i="12"/>
  <c r="O150" i="12"/>
  <c r="Y114" i="12"/>
  <c r="AO98" i="12"/>
  <c r="AA44" i="10"/>
  <c r="AA43" i="10" s="1"/>
  <c r="AA45" i="10"/>
  <c r="I44" i="10"/>
  <c r="I43" i="10" s="1"/>
  <c r="Y9" i="10" s="1"/>
  <c r="I45" i="10"/>
  <c r="AE9" i="10" s="1"/>
  <c r="U45" i="10"/>
  <c r="U44" i="10"/>
  <c r="U43" i="10" s="1"/>
  <c r="J116" i="12"/>
  <c r="L116" i="12"/>
  <c r="C116" i="12"/>
  <c r="AB151" i="5"/>
  <c r="C104" i="8" s="1"/>
  <c r="AB150" i="5"/>
  <c r="AB23" i="11" s="1"/>
  <c r="N23" i="11" s="1"/>
  <c r="V23" i="12"/>
  <c r="T23" i="12"/>
  <c r="U23" i="12"/>
  <c r="W17" i="11"/>
  <c r="L17" i="13"/>
  <c r="C17" i="11"/>
  <c r="O24" i="11"/>
  <c r="L81" i="12"/>
  <c r="C81" i="12"/>
  <c r="J81" i="12"/>
  <c r="Z70" i="8"/>
  <c r="AB70" i="8"/>
  <c r="AB68" i="8" s="1"/>
  <c r="AC70" i="8"/>
  <c r="AC68" i="8" s="1"/>
  <c r="AD70" i="8"/>
  <c r="F69" i="8"/>
  <c r="Y70" i="8"/>
  <c r="Y68" i="8" s="1"/>
  <c r="T70" i="8"/>
  <c r="T68" i="8" s="1"/>
  <c r="V70" i="8"/>
  <c r="V68" i="8" s="1"/>
  <c r="AE70" i="8"/>
  <c r="AE68" i="8" s="1"/>
  <c r="AA70" i="8"/>
  <c r="AA68" i="8" s="1"/>
  <c r="X70" i="8"/>
  <c r="X68" i="8" s="1"/>
  <c r="W70" i="8"/>
  <c r="W68" i="8" s="1"/>
  <c r="F68" i="8"/>
  <c r="G69" i="8"/>
  <c r="U70" i="8"/>
  <c r="D70" i="8"/>
  <c r="D68" i="8" s="1"/>
  <c r="F66" i="8"/>
  <c r="F65" i="8"/>
  <c r="G66" i="8"/>
  <c r="G65" i="8"/>
  <c r="I66" i="8" s="1"/>
  <c r="G81" i="8"/>
  <c r="F81" i="8"/>
  <c r="AA82" i="8"/>
  <c r="AA80" i="8" s="1"/>
  <c r="G80" i="8" s="1"/>
  <c r="I81" i="8" s="1"/>
  <c r="F80" i="8"/>
  <c r="AB82" i="8"/>
  <c r="AB79" i="8" s="1"/>
  <c r="AB77" i="8" s="1"/>
  <c r="Z82" i="8"/>
  <c r="Z79" i="8" s="1"/>
  <c r="Z77" i="8" s="1"/>
  <c r="W82" i="8"/>
  <c r="W79" i="8" s="1"/>
  <c r="W77" i="8" s="1"/>
  <c r="AD82" i="8"/>
  <c r="AE82" i="8"/>
  <c r="AE79" i="8" s="1"/>
  <c r="AE77" i="8" s="1"/>
  <c r="V82" i="8"/>
  <c r="V79" i="8" s="1"/>
  <c r="V77" i="8" s="1"/>
  <c r="Y82" i="8"/>
  <c r="Y79" i="8" s="1"/>
  <c r="Y77" i="8" s="1"/>
  <c r="X82" i="8"/>
  <c r="X79" i="8" s="1"/>
  <c r="X77" i="8" s="1"/>
  <c r="AC82" i="8"/>
  <c r="AC79" i="8" s="1"/>
  <c r="AC77" i="8" s="1"/>
  <c r="U82" i="8"/>
  <c r="U79" i="8" s="1"/>
  <c r="U77" i="8" s="1"/>
  <c r="AD79" i="8"/>
  <c r="AD77" i="8" s="1"/>
  <c r="T82" i="8"/>
  <c r="T79" i="8" s="1"/>
  <c r="T77" i="8" s="1"/>
  <c r="D82" i="8"/>
  <c r="D79" i="8" s="1"/>
  <c r="D77" i="8" s="1"/>
  <c r="C151" i="12"/>
  <c r="L151" i="12"/>
  <c r="J151" i="12"/>
  <c r="L23" i="13"/>
  <c r="D23" i="13" s="1"/>
  <c r="W23" i="11"/>
  <c r="C23" i="11"/>
  <c r="E83" i="6"/>
  <c r="D83" i="12"/>
  <c r="N114" i="12"/>
  <c r="O98" i="12"/>
  <c r="N98" i="12" s="1"/>
  <c r="L18" i="13"/>
  <c r="D18" i="13" s="1"/>
  <c r="C18" i="11"/>
  <c r="W18" i="11"/>
  <c r="I75" i="5"/>
  <c r="O74" i="5"/>
  <c r="M58" i="12"/>
  <c r="M50" i="12"/>
  <c r="Y44" i="10"/>
  <c r="Y43" i="10" s="1"/>
  <c r="Y45" i="10"/>
  <c r="O116" i="5"/>
  <c r="C116" i="6"/>
  <c r="M81" i="12"/>
  <c r="M80" i="12"/>
  <c r="L50" i="12"/>
  <c r="J50" i="12"/>
  <c r="C50" i="12"/>
  <c r="C19" i="11"/>
  <c r="W19" i="11"/>
  <c r="L19" i="13"/>
  <c r="D19" i="13" s="1"/>
  <c r="E61" i="6"/>
  <c r="D61" i="12"/>
  <c r="J80" i="12"/>
  <c r="C80" i="12"/>
  <c r="L80" i="12"/>
  <c r="N120" i="12"/>
  <c r="Y120" i="12"/>
  <c r="M116" i="12"/>
  <c r="M117" i="12"/>
  <c r="C117" i="6"/>
  <c r="O117" i="5"/>
  <c r="L117" i="12"/>
  <c r="J117" i="12"/>
  <c r="C117" i="12"/>
  <c r="G75" i="8"/>
  <c r="C74" i="8"/>
  <c r="F74" i="8"/>
  <c r="AA76" i="8"/>
  <c r="AA74" i="8" s="1"/>
  <c r="F75" i="8"/>
  <c r="U76" i="8"/>
  <c r="U74" i="8" s="1"/>
  <c r="Y76" i="8"/>
  <c r="Y74" i="8" s="1"/>
  <c r="AD76" i="8"/>
  <c r="AD74" i="8" s="1"/>
  <c r="AE76" i="8"/>
  <c r="AE74" i="8" s="1"/>
  <c r="AB76" i="8"/>
  <c r="AB74" i="8" s="1"/>
  <c r="W76" i="8"/>
  <c r="W74" i="8" s="1"/>
  <c r="Z76" i="8"/>
  <c r="Z74" i="8" s="1"/>
  <c r="V76" i="8"/>
  <c r="V74" i="8" s="1"/>
  <c r="AC76" i="8"/>
  <c r="AC74" i="8" s="1"/>
  <c r="T76" i="8"/>
  <c r="T74" i="8" s="1"/>
  <c r="D76" i="8"/>
  <c r="D74" i="8" s="1"/>
  <c r="X76" i="8"/>
  <c r="X74" i="8" s="1"/>
  <c r="C71" i="6"/>
  <c r="O71" i="5"/>
  <c r="O150" i="5"/>
  <c r="C150" i="6"/>
  <c r="E120" i="6"/>
  <c r="D120" i="12"/>
  <c r="C58" i="6"/>
  <c r="O58" i="5"/>
  <c r="J58" i="12"/>
  <c r="L58" i="12"/>
  <c r="C58" i="12"/>
  <c r="AB116" i="5"/>
  <c r="AB20" i="11" s="1"/>
  <c r="N20" i="11" s="1"/>
  <c r="AB117" i="5"/>
  <c r="C80" i="8" s="1"/>
  <c r="M151" i="12"/>
  <c r="M150" i="12"/>
  <c r="J70" i="12"/>
  <c r="L70" i="12"/>
  <c r="C70" i="12"/>
  <c r="D73" i="12"/>
  <c r="E73" i="6"/>
  <c r="N61" i="12"/>
  <c r="O58" i="12"/>
  <c r="O50" i="12"/>
  <c r="AC44" i="10"/>
  <c r="AC43" i="10" s="1"/>
  <c r="AC45" i="10"/>
  <c r="S44" i="10"/>
  <c r="S43" i="10" s="1"/>
  <c r="S45" i="10"/>
  <c r="M44" i="10"/>
  <c r="M43" i="10" s="1"/>
  <c r="M45" i="10"/>
  <c r="F78" i="8"/>
  <c r="G78" i="8"/>
  <c r="F77" i="8"/>
  <c r="G77" i="8"/>
  <c r="I78" i="8" s="1"/>
  <c r="L20" i="13"/>
  <c r="D20" i="13" s="1"/>
  <c r="W20" i="11"/>
  <c r="C20" i="11"/>
  <c r="M70" i="12"/>
  <c r="M71" i="12"/>
  <c r="Y83" i="12"/>
  <c r="AO80" i="12"/>
  <c r="Y80" i="12" s="1"/>
  <c r="AO81" i="12"/>
  <c r="Y81" i="12" s="1"/>
  <c r="AB50" i="5"/>
  <c r="AB17" i="11" s="1"/>
  <c r="AB15" i="5"/>
  <c r="AB58" i="5"/>
  <c r="C47" i="8" s="1"/>
  <c r="AC11" i="5"/>
  <c r="E119" i="6"/>
  <c r="D119" i="12"/>
  <c r="D153" i="12"/>
  <c r="E153" i="6"/>
  <c r="T46" i="12"/>
  <c r="U46" i="12"/>
  <c r="V46" i="12"/>
  <c r="D114" i="12"/>
  <c r="E114" i="6"/>
  <c r="AD58" i="8" l="1"/>
  <c r="AD56" i="8" s="1"/>
  <c r="K151" i="12"/>
  <c r="Y116" i="12"/>
  <c r="Z43" i="8"/>
  <c r="Z41" i="8" s="1"/>
  <c r="V103" i="8"/>
  <c r="V101" i="8" s="1"/>
  <c r="V58" i="8"/>
  <c r="V56" i="8" s="1"/>
  <c r="T43" i="8"/>
  <c r="T41" i="8" s="1"/>
  <c r="AA43" i="8"/>
  <c r="AA41" i="8" s="1"/>
  <c r="AB103" i="8"/>
  <c r="AB101" i="8" s="1"/>
  <c r="Y103" i="8"/>
  <c r="Y101" i="8" s="1"/>
  <c r="Y43" i="8"/>
  <c r="Y41" i="8" s="1"/>
  <c r="AD43" i="8"/>
  <c r="AD41" i="8" s="1"/>
  <c r="AE103" i="8"/>
  <c r="AE101" i="8" s="1"/>
  <c r="U58" i="8"/>
  <c r="U56" i="8" s="1"/>
  <c r="U103" i="8"/>
  <c r="U101" i="8" s="1"/>
  <c r="T103" i="8"/>
  <c r="T101" i="8" s="1"/>
  <c r="K71" i="12"/>
  <c r="W43" i="8"/>
  <c r="W41" i="8" s="1"/>
  <c r="W103" i="8"/>
  <c r="W101" i="8" s="1"/>
  <c r="N58" i="12"/>
  <c r="U43" i="8"/>
  <c r="U41" i="8" s="1"/>
  <c r="AB43" i="8"/>
  <c r="AB41" i="8" s="1"/>
  <c r="D103" i="8"/>
  <c r="D101" i="8" s="1"/>
  <c r="AD103" i="8"/>
  <c r="AD101" i="8" s="1"/>
  <c r="G104" i="8"/>
  <c r="I105" i="8" s="1"/>
  <c r="Y70" i="12"/>
  <c r="X70" i="12" s="1"/>
  <c r="K70" i="12"/>
  <c r="K117" i="12"/>
  <c r="Z67" i="8"/>
  <c r="Z65" i="8" s="1"/>
  <c r="V43" i="8"/>
  <c r="V41" i="8" s="1"/>
  <c r="G74" i="8"/>
  <c r="I75" i="8" s="1"/>
  <c r="W67" i="8"/>
  <c r="W65" i="8" s="1"/>
  <c r="G47" i="8"/>
  <c r="I48" i="8" s="1"/>
  <c r="K98" i="12"/>
  <c r="AA79" i="8"/>
  <c r="AA77" i="8" s="1"/>
  <c r="G68" i="8"/>
  <c r="I69" i="8" s="1"/>
  <c r="AD67" i="8"/>
  <c r="AD65" i="8" s="1"/>
  <c r="AE43" i="8"/>
  <c r="AE41" i="8" s="1"/>
  <c r="AC43" i="8"/>
  <c r="AC41" i="8" s="1"/>
  <c r="AC103" i="8"/>
  <c r="AC101" i="8" s="1"/>
  <c r="X103" i="8"/>
  <c r="X101" i="8" s="1"/>
  <c r="G101" i="8" s="1"/>
  <c r="I102" i="8" s="1"/>
  <c r="AE58" i="8"/>
  <c r="AE56" i="8" s="1"/>
  <c r="T67" i="8"/>
  <c r="T65" i="8" s="1"/>
  <c r="G59" i="8"/>
  <c r="I60" i="8" s="1"/>
  <c r="V67" i="8"/>
  <c r="V65" i="8" s="1"/>
  <c r="Z58" i="8"/>
  <c r="Z56" i="8" s="1"/>
  <c r="T122" i="8" a="1"/>
  <c r="T122" i="8" s="1"/>
  <c r="T117" i="8" s="1"/>
  <c r="W61" i="12"/>
  <c r="X61" i="12"/>
  <c r="X152" i="12"/>
  <c r="W152" i="12"/>
  <c r="N17" i="11"/>
  <c r="N24" i="11" s="1"/>
  <c r="AB24" i="11"/>
  <c r="AB7" i="11" s="1"/>
  <c r="H47" i="8"/>
  <c r="D58" i="12"/>
  <c r="E58" i="6"/>
  <c r="K80" i="12"/>
  <c r="K50" i="12"/>
  <c r="H77" i="8"/>
  <c r="E116" i="6"/>
  <c r="D116" i="12"/>
  <c r="AB67" i="8"/>
  <c r="AB65" i="8" s="1"/>
  <c r="X67" i="8"/>
  <c r="X65" i="8" s="1"/>
  <c r="AO23" i="13"/>
  <c r="O23" i="13" s="1"/>
  <c r="AN23" i="13"/>
  <c r="U23" i="13" s="1"/>
  <c r="N150" i="12"/>
  <c r="D43" i="8"/>
  <c r="Z103" i="8"/>
  <c r="Z101" i="8" s="1"/>
  <c r="AA103" i="8"/>
  <c r="AA101" i="8" s="1"/>
  <c r="W116" i="12"/>
  <c r="X116" i="12"/>
  <c r="D80" i="12"/>
  <c r="H65" i="8"/>
  <c r="E80" i="6"/>
  <c r="E155" i="6"/>
  <c r="D155" i="12"/>
  <c r="T76" i="12"/>
  <c r="U76" i="12"/>
  <c r="V76" i="12"/>
  <c r="X58" i="8"/>
  <c r="X56" i="8" s="1"/>
  <c r="W58" i="8"/>
  <c r="W56" i="8" s="1"/>
  <c r="H74" i="8"/>
  <c r="D98" i="12"/>
  <c r="E98" i="6"/>
  <c r="E50" i="6"/>
  <c r="D50" i="12"/>
  <c r="H41" i="8"/>
  <c r="X72" i="12"/>
  <c r="W72" i="12"/>
  <c r="N70" i="12"/>
  <c r="AO18" i="13"/>
  <c r="O18" i="13" s="1"/>
  <c r="AN18" i="13"/>
  <c r="U18" i="13" s="1"/>
  <c r="E70" i="6"/>
  <c r="H56" i="8"/>
  <c r="D70" i="12"/>
  <c r="Y151" i="12"/>
  <c r="AN20" i="13"/>
  <c r="U20" i="13" s="1"/>
  <c r="AO20" i="13"/>
  <c r="O20" i="13" s="1"/>
  <c r="N116" i="12"/>
  <c r="AK17" i="13"/>
  <c r="S17" i="13" s="1"/>
  <c r="AL17" i="13"/>
  <c r="M17" i="13" s="1"/>
  <c r="X81" i="12"/>
  <c r="W81" i="12"/>
  <c r="AL18" i="13"/>
  <c r="M18" i="13" s="1"/>
  <c r="AK18" i="13"/>
  <c r="S18" i="13" s="1"/>
  <c r="N50" i="12"/>
  <c r="AO17" i="13"/>
  <c r="O17" i="13" s="1"/>
  <c r="AN17" i="13"/>
  <c r="U17" i="13" s="1"/>
  <c r="AL23" i="13"/>
  <c r="M23" i="13" s="1"/>
  <c r="AK23" i="13"/>
  <c r="S23" i="13" s="1"/>
  <c r="E150" i="6"/>
  <c r="D150" i="12"/>
  <c r="H101" i="8"/>
  <c r="AK20" i="13"/>
  <c r="S20" i="13" s="1"/>
  <c r="AL20" i="13"/>
  <c r="M20" i="13" s="1"/>
  <c r="AL19" i="13"/>
  <c r="M19" i="13" s="1"/>
  <c r="AK19" i="13"/>
  <c r="S19" i="13" s="1"/>
  <c r="D74" i="12"/>
  <c r="E74" i="6"/>
  <c r="AE67" i="8"/>
  <c r="AE65" i="8" s="1"/>
  <c r="D67" i="8"/>
  <c r="D65" i="8" s="1"/>
  <c r="AA67" i="8"/>
  <c r="AA65" i="8" s="1"/>
  <c r="K81" i="12"/>
  <c r="N151" i="12"/>
  <c r="X43" i="8"/>
  <c r="X41" i="8" s="1"/>
  <c r="X117" i="12"/>
  <c r="W117" i="12"/>
  <c r="AC58" i="8"/>
  <c r="AC56" i="8" s="1"/>
  <c r="Y58" i="8"/>
  <c r="Y56" i="8" s="1"/>
  <c r="AO19" i="13"/>
  <c r="O19" i="13" s="1"/>
  <c r="N80" i="12"/>
  <c r="AN19" i="13"/>
  <c r="U19" i="13" s="1"/>
  <c r="Y58" i="12"/>
  <c r="N71" i="12"/>
  <c r="N117" i="12"/>
  <c r="X83" i="12"/>
  <c r="W83" i="12"/>
  <c r="W114" i="12"/>
  <c r="X114" i="12"/>
  <c r="D154" i="12"/>
  <c r="E154" i="6"/>
  <c r="X80" i="12"/>
  <c r="W80" i="12"/>
  <c r="K58" i="12"/>
  <c r="H59" i="8"/>
  <c r="D71" i="12"/>
  <c r="E71" i="6"/>
  <c r="H80" i="8"/>
  <c r="E117" i="6"/>
  <c r="D117" i="12"/>
  <c r="X120" i="12"/>
  <c r="W120" i="12"/>
  <c r="O75" i="5"/>
  <c r="I76" i="5"/>
  <c r="O76" i="5" s="1"/>
  <c r="Y67" i="8"/>
  <c r="Y65" i="8" s="1"/>
  <c r="U67" i="8"/>
  <c r="U65" i="8" s="1"/>
  <c r="AC67" i="8"/>
  <c r="AC65" i="8" s="1"/>
  <c r="O25" i="11"/>
  <c r="AA7" i="11"/>
  <c r="D17" i="13"/>
  <c r="V17" i="13"/>
  <c r="L28" i="13"/>
  <c r="K116" i="12"/>
  <c r="Y98" i="12"/>
  <c r="W119" i="12"/>
  <c r="X119" i="12"/>
  <c r="K150" i="12"/>
  <c r="H68" i="8"/>
  <c r="D81" i="12"/>
  <c r="E81" i="6"/>
  <c r="N81" i="12"/>
  <c r="W71" i="12"/>
  <c r="X71" i="12"/>
  <c r="Y50" i="12"/>
  <c r="H104" i="8"/>
  <c r="E151" i="6"/>
  <c r="D151" i="12"/>
  <c r="Y150" i="12"/>
  <c r="W70" i="12" l="1"/>
  <c r="T123" i="8"/>
  <c r="Z3" i="11"/>
  <c r="AA3" i="11" s="1"/>
  <c r="AD12" i="11" s="1"/>
  <c r="E75" i="6"/>
  <c r="D75" i="12"/>
  <c r="U83" i="12"/>
  <c r="V83" i="12"/>
  <c r="T83" i="12"/>
  <c r="V70" i="12"/>
  <c r="U70" i="12"/>
  <c r="T70" i="12"/>
  <c r="AD4" i="13"/>
  <c r="U122" i="8" a="1"/>
  <c r="U122" i="8" s="1"/>
  <c r="U80" i="12"/>
  <c r="V80" i="12"/>
  <c r="T80" i="12"/>
  <c r="N19" i="13"/>
  <c r="P19" i="13"/>
  <c r="U117" i="12"/>
  <c r="V117" i="12"/>
  <c r="T117" i="12"/>
  <c r="P17" i="13"/>
  <c r="N17" i="13"/>
  <c r="O28" i="13"/>
  <c r="M28" i="13"/>
  <c r="N20" i="13"/>
  <c r="P20" i="13"/>
  <c r="N18" i="13"/>
  <c r="P18" i="13"/>
  <c r="D41" i="8"/>
  <c r="D122" i="8" s="1" a="1"/>
  <c r="D122" i="8" s="1"/>
  <c r="D117" i="8" s="1"/>
  <c r="D123" i="8"/>
  <c r="N23" i="13"/>
  <c r="P23" i="13"/>
  <c r="T71" i="12"/>
  <c r="U71" i="12"/>
  <c r="V71" i="12"/>
  <c r="X98" i="12"/>
  <c r="W98" i="12"/>
  <c r="W58" i="12"/>
  <c r="X58" i="12"/>
  <c r="V120" i="12"/>
  <c r="T120" i="12"/>
  <c r="U120" i="12"/>
  <c r="W150" i="12"/>
  <c r="X150" i="12"/>
  <c r="W50" i="12"/>
  <c r="X50" i="12"/>
  <c r="L24" i="13"/>
  <c r="D33" i="14"/>
  <c r="V119" i="12"/>
  <c r="T119" i="12"/>
  <c r="U119" i="12"/>
  <c r="V18" i="13"/>
  <c r="V19" i="13" s="1"/>
  <c r="V20" i="13" s="1"/>
  <c r="V21" i="13" s="1"/>
  <c r="V22" i="13" s="1"/>
  <c r="V23" i="13" s="1"/>
  <c r="D76" i="12"/>
  <c r="E76" i="6"/>
  <c r="V114" i="12"/>
  <c r="T114" i="12"/>
  <c r="U114" i="12"/>
  <c r="T118" i="8"/>
  <c r="T114" i="8" s="1"/>
  <c r="T119" i="8"/>
  <c r="U123" i="8"/>
  <c r="U81" i="12"/>
  <c r="T81" i="12"/>
  <c r="V81" i="12"/>
  <c r="M27" i="13"/>
  <c r="V116" i="12"/>
  <c r="T116" i="12"/>
  <c r="U116" i="12"/>
  <c r="N25" i="11"/>
  <c r="L27" i="13"/>
  <c r="D32" i="14" s="1"/>
  <c r="U61" i="12"/>
  <c r="V61" i="12"/>
  <c r="T61" i="12"/>
  <c r="X151" i="12"/>
  <c r="W151" i="12"/>
  <c r="V72" i="12"/>
  <c r="U72" i="12"/>
  <c r="T72" i="12"/>
  <c r="T152" i="12"/>
  <c r="V152" i="12"/>
  <c r="U152" i="12"/>
  <c r="AA141" i="5" l="1"/>
  <c r="AA155" i="5"/>
  <c r="AA66" i="5"/>
  <c r="AD16" i="11"/>
  <c r="AA75" i="5"/>
  <c r="AA86" i="5"/>
  <c r="AA43" i="5"/>
  <c r="AA92" i="5"/>
  <c r="AA115" i="5"/>
  <c r="AA82" i="5"/>
  <c r="AA59" i="5"/>
  <c r="AA111" i="5"/>
  <c r="AA39" i="5"/>
  <c r="AA93" i="5"/>
  <c r="AA95" i="5"/>
  <c r="AD18" i="11"/>
  <c r="AA130" i="5"/>
  <c r="AA85" i="5"/>
  <c r="AA47" i="5"/>
  <c r="AA129" i="5"/>
  <c r="AA57" i="5"/>
  <c r="AA89" i="5"/>
  <c r="AA55" i="5"/>
  <c r="AA83" i="5"/>
  <c r="AA81" i="5" s="1"/>
  <c r="AA72" i="5"/>
  <c r="AA103" i="5"/>
  <c r="AA109" i="5"/>
  <c r="AA138" i="5"/>
  <c r="AA158" i="5"/>
  <c r="AA22" i="5"/>
  <c r="AA32" i="5"/>
  <c r="AD17" i="11"/>
  <c r="AA152" i="5"/>
  <c r="AA120" i="5"/>
  <c r="AA20" i="5"/>
  <c r="AA49" i="5"/>
  <c r="AA157" i="5"/>
  <c r="AA34" i="5"/>
  <c r="AA124" i="5"/>
  <c r="AA125" i="5"/>
  <c r="AA112" i="5"/>
  <c r="AA29" i="5"/>
  <c r="AA45" i="5"/>
  <c r="AA73" i="5"/>
  <c r="AA26" i="5"/>
  <c r="AA52" i="5"/>
  <c r="AA105" i="5"/>
  <c r="AA154" i="5"/>
  <c r="AA42" i="5"/>
  <c r="AA54" i="5"/>
  <c r="AA143" i="5"/>
  <c r="AA121" i="5"/>
  <c r="AA117" i="5" s="1"/>
  <c r="B80" i="8" s="1"/>
  <c r="AA18" i="5"/>
  <c r="AA132" i="5"/>
  <c r="AA30" i="5"/>
  <c r="AA96" i="5"/>
  <c r="AA100" i="5"/>
  <c r="AA99" i="5"/>
  <c r="AA133" i="5"/>
  <c r="AA79" i="5"/>
  <c r="AA162" i="5"/>
  <c r="AD21" i="11"/>
  <c r="AD19" i="11"/>
  <c r="AD23" i="11"/>
  <c r="AE23" i="11" s="1"/>
  <c r="AA119" i="5"/>
  <c r="AA76" i="5"/>
  <c r="AA134" i="5"/>
  <c r="AA161" i="5"/>
  <c r="AA60" i="5"/>
  <c r="AA118" i="5"/>
  <c r="AA126" i="5"/>
  <c r="AA64" i="5"/>
  <c r="AA48" i="5"/>
  <c r="AA131" i="5"/>
  <c r="AA153" i="5"/>
  <c r="AA74" i="5"/>
  <c r="AA110" i="5"/>
  <c r="AA136" i="5"/>
  <c r="AA137" i="5"/>
  <c r="AA87" i="5"/>
  <c r="AA53" i="5"/>
  <c r="AA38" i="5"/>
  <c r="AA63" i="5"/>
  <c r="AA144" i="5"/>
  <c r="AA142" i="5" s="1"/>
  <c r="B92" i="8" s="1"/>
  <c r="AA44" i="5"/>
  <c r="AA94" i="5"/>
  <c r="AA128" i="5"/>
  <c r="AA88" i="5"/>
  <c r="AA139" i="5"/>
  <c r="AA25" i="5"/>
  <c r="AA69" i="5"/>
  <c r="AA65" i="5"/>
  <c r="AA140" i="5"/>
  <c r="AD15" i="11"/>
  <c r="AD14" i="11"/>
  <c r="AA114" i="5"/>
  <c r="AA61" i="5"/>
  <c r="AA149" i="5"/>
  <c r="AA113" i="5"/>
  <c r="AA97" i="5"/>
  <c r="AA68" i="5"/>
  <c r="AA36" i="5"/>
  <c r="AA108" i="5"/>
  <c r="AA37" i="5"/>
  <c r="AA164" i="5"/>
  <c r="AA163" i="5" s="1"/>
  <c r="AA56" i="5"/>
  <c r="AA135" i="5"/>
  <c r="AA102" i="5"/>
  <c r="AA107" i="5"/>
  <c r="AA35" i="5"/>
  <c r="AA160" i="5"/>
  <c r="AA159" i="5"/>
  <c r="AA156" i="5" s="1"/>
  <c r="B107" i="8" s="1"/>
  <c r="AA21" i="5"/>
  <c r="AA91" i="5"/>
  <c r="AA31" i="5"/>
  <c r="AA78" i="5"/>
  <c r="AA77" i="5" s="1"/>
  <c r="B62" i="8" s="1"/>
  <c r="AA148" i="5"/>
  <c r="AA24" i="5"/>
  <c r="AA19" i="5"/>
  <c r="AA101" i="5"/>
  <c r="AA80" i="5" s="1"/>
  <c r="AA90" i="5"/>
  <c r="AA106" i="5"/>
  <c r="AA104" i="5"/>
  <c r="AA147" i="5"/>
  <c r="AA145" i="5" s="1"/>
  <c r="AD22" i="11"/>
  <c r="AD20" i="11"/>
  <c r="I16" i="14"/>
  <c r="J16" i="14" s="1"/>
  <c r="K16" i="14" s="1"/>
  <c r="L16" i="14" s="1"/>
  <c r="I11" i="14"/>
  <c r="J11" i="14" s="1"/>
  <c r="K11" i="14" s="1"/>
  <c r="L11" i="14" s="1"/>
  <c r="I36" i="14"/>
  <c r="J36" i="14" s="1"/>
  <c r="K36" i="14" s="1"/>
  <c r="L36" i="14" s="1"/>
  <c r="I14" i="14"/>
  <c r="J14" i="14" s="1"/>
  <c r="K14" i="14" s="1"/>
  <c r="L14" i="14" s="1"/>
  <c r="I41" i="14"/>
  <c r="J41" i="14" s="1"/>
  <c r="K41" i="14" s="1"/>
  <c r="L41" i="14" s="1"/>
  <c r="I8" i="14"/>
  <c r="J8" i="14" s="1"/>
  <c r="K8" i="14" s="1"/>
  <c r="L8" i="14" s="1"/>
  <c r="I31" i="14"/>
  <c r="J31" i="14" s="1"/>
  <c r="K31" i="14" s="1"/>
  <c r="L31" i="14" s="1"/>
  <c r="I45" i="14"/>
  <c r="J45" i="14" s="1"/>
  <c r="K45" i="14" s="1"/>
  <c r="L45" i="14" s="1"/>
  <c r="I37" i="14"/>
  <c r="J37" i="14" s="1"/>
  <c r="K37" i="14" s="1"/>
  <c r="L37" i="14" s="1"/>
  <c r="I33" i="14"/>
  <c r="J33" i="14" s="1"/>
  <c r="K33" i="14" s="1"/>
  <c r="L33" i="14" s="1"/>
  <c r="I27" i="14"/>
  <c r="J27" i="14" s="1"/>
  <c r="K27" i="14" s="1"/>
  <c r="L27" i="14" s="1"/>
  <c r="AA67" i="5"/>
  <c r="B53" i="8" s="1"/>
  <c r="U119" i="8"/>
  <c r="U118" i="8"/>
  <c r="U114" i="8" s="1"/>
  <c r="V123" i="8"/>
  <c r="I30" i="14"/>
  <c r="J30" i="14" s="1"/>
  <c r="K30" i="14" s="1"/>
  <c r="L30" i="14" s="1"/>
  <c r="I34" i="14"/>
  <c r="J34" i="14" s="1"/>
  <c r="K34" i="14" s="1"/>
  <c r="L34" i="14" s="1"/>
  <c r="I7" i="14"/>
  <c r="J7" i="14" s="1"/>
  <c r="K7" i="14" s="1"/>
  <c r="L7" i="14" s="1"/>
  <c r="I38" i="14"/>
  <c r="J38" i="14" s="1"/>
  <c r="K38" i="14" s="1"/>
  <c r="L38" i="14" s="1"/>
  <c r="I44" i="14"/>
  <c r="J44" i="14" s="1"/>
  <c r="K44" i="14" s="1"/>
  <c r="L44" i="14" s="1"/>
  <c r="I23" i="14"/>
  <c r="J23" i="14" s="1"/>
  <c r="K23" i="14" s="1"/>
  <c r="L23" i="14" s="1"/>
  <c r="I43" i="14"/>
  <c r="J43" i="14" s="1"/>
  <c r="K43" i="14" s="1"/>
  <c r="L43" i="14" s="1"/>
  <c r="I46" i="14"/>
  <c r="J46" i="14" s="1"/>
  <c r="K46" i="14" s="1"/>
  <c r="L46" i="14" s="1"/>
  <c r="I17" i="14"/>
  <c r="J17" i="14" s="1"/>
  <c r="K17" i="14" s="1"/>
  <c r="L17" i="14" s="1"/>
  <c r="I39" i="14"/>
  <c r="J39" i="14" s="1"/>
  <c r="K39" i="14" s="1"/>
  <c r="L39" i="14" s="1"/>
  <c r="V150" i="12"/>
  <c r="T150" i="12"/>
  <c r="U150" i="12"/>
  <c r="N28" i="13"/>
  <c r="AC27" i="13"/>
  <c r="AD6" i="13"/>
  <c r="AE6" i="13" s="1"/>
  <c r="F33" i="14"/>
  <c r="O24" i="13"/>
  <c r="AD27" i="13"/>
  <c r="P24" i="13"/>
  <c r="F34" i="14" s="1"/>
  <c r="AA58" i="5"/>
  <c r="B47" i="8" s="1"/>
  <c r="T98" i="12"/>
  <c r="V98" i="12"/>
  <c r="U98" i="12"/>
  <c r="T151" i="12"/>
  <c r="U151" i="12"/>
  <c r="V151" i="12"/>
  <c r="I21" i="14"/>
  <c r="J21" i="14" s="1"/>
  <c r="K21" i="14" s="1"/>
  <c r="L21" i="14" s="1"/>
  <c r="I9" i="14"/>
  <c r="J9" i="14" s="1"/>
  <c r="K9" i="14" s="1"/>
  <c r="L9" i="14" s="1"/>
  <c r="I15" i="14"/>
  <c r="J15" i="14" s="1"/>
  <c r="K15" i="14" s="1"/>
  <c r="L15" i="14" s="1"/>
  <c r="I29" i="14"/>
  <c r="J29" i="14" s="1"/>
  <c r="K29" i="14" s="1"/>
  <c r="L29" i="14" s="1"/>
  <c r="I35" i="14"/>
  <c r="J35" i="14" s="1"/>
  <c r="K35" i="14" s="1"/>
  <c r="L35" i="14" s="1"/>
  <c r="I24" i="14"/>
  <c r="J24" i="14" s="1"/>
  <c r="K24" i="14" s="1"/>
  <c r="L24" i="14" s="1"/>
  <c r="I20" i="14"/>
  <c r="J20" i="14" s="1"/>
  <c r="K20" i="14" s="1"/>
  <c r="L20" i="14" s="1"/>
  <c r="I26" i="14"/>
  <c r="J26" i="14" s="1"/>
  <c r="K26" i="14" s="1"/>
  <c r="L26" i="14" s="1"/>
  <c r="I18" i="14"/>
  <c r="J18" i="14" s="1"/>
  <c r="K18" i="14" s="1"/>
  <c r="L18" i="14" s="1"/>
  <c r="I19" i="14"/>
  <c r="J19" i="14" s="1"/>
  <c r="K19" i="14" s="1"/>
  <c r="L19" i="14" s="1"/>
  <c r="U58" i="12"/>
  <c r="V58" i="12"/>
  <c r="T58" i="12"/>
  <c r="D119" i="8"/>
  <c r="D118" i="8"/>
  <c r="D114" i="8" s="1"/>
  <c r="AA151" i="5"/>
  <c r="AA28" i="5"/>
  <c r="B26" i="8" s="1"/>
  <c r="AA51" i="5"/>
  <c r="B44" i="8" s="1"/>
  <c r="AA41" i="5"/>
  <c r="B35" i="8" s="1"/>
  <c r="AA16" i="5"/>
  <c r="AA17" i="5"/>
  <c r="B17" i="8" s="1"/>
  <c r="U117" i="8"/>
  <c r="V122" i="8" a="1"/>
  <c r="V122" i="8" s="1"/>
  <c r="V50" i="12"/>
  <c r="T50" i="12"/>
  <c r="U50" i="12"/>
  <c r="I10" i="14"/>
  <c r="J10" i="14" s="1"/>
  <c r="K10" i="14" s="1"/>
  <c r="L10" i="14" s="1"/>
  <c r="I22" i="14"/>
  <c r="J22" i="14" s="1"/>
  <c r="K22" i="14" s="1"/>
  <c r="L22" i="14" s="1"/>
  <c r="I40" i="14"/>
  <c r="J40" i="14" s="1"/>
  <c r="K40" i="14" s="1"/>
  <c r="L40" i="14" s="1"/>
  <c r="I13" i="14"/>
  <c r="J13" i="14" s="1"/>
  <c r="K13" i="14" s="1"/>
  <c r="L13" i="14" s="1"/>
  <c r="I42" i="14"/>
  <c r="J42" i="14" s="1"/>
  <c r="K42" i="14" s="1"/>
  <c r="L42" i="14" s="1"/>
  <c r="I6" i="14"/>
  <c r="J6" i="14" s="1"/>
  <c r="K6" i="14" s="1"/>
  <c r="L6" i="14" s="1"/>
  <c r="I28" i="14"/>
  <c r="J28" i="14" s="1"/>
  <c r="K28" i="14" s="1"/>
  <c r="L28" i="14" s="1"/>
  <c r="I32" i="14"/>
  <c r="J32" i="14" s="1"/>
  <c r="K32" i="14" s="1"/>
  <c r="L32" i="14" s="1"/>
  <c r="I12" i="14"/>
  <c r="J12" i="14" s="1"/>
  <c r="K12" i="14" s="1"/>
  <c r="L12" i="14" s="1"/>
  <c r="I25" i="14"/>
  <c r="J25" i="14" s="1"/>
  <c r="K25" i="14" s="1"/>
  <c r="L25" i="14" s="1"/>
  <c r="M24" i="13"/>
  <c r="O29" i="13"/>
  <c r="AA23" i="5"/>
  <c r="B20" i="8" s="1"/>
  <c r="AA127" i="5" l="1"/>
  <c r="B89" i="8" s="1"/>
  <c r="AA123" i="5"/>
  <c r="AA146" i="5"/>
  <c r="B98" i="8" s="1"/>
  <c r="AA40" i="5"/>
  <c r="AA46" i="5"/>
  <c r="B38" i="8" s="1"/>
  <c r="AA98" i="5"/>
  <c r="B74" i="8" s="1"/>
  <c r="AE20" i="11"/>
  <c r="AA15" i="5"/>
  <c r="AA50" i="5"/>
  <c r="AA17" i="11" s="1"/>
  <c r="AA150" i="5"/>
  <c r="AA23" i="11" s="1"/>
  <c r="AA122" i="5"/>
  <c r="AE17" i="11"/>
  <c r="AE15" i="11"/>
  <c r="B110" i="8"/>
  <c r="AA84" i="5"/>
  <c r="B71" i="8" s="1"/>
  <c r="AA62" i="5"/>
  <c r="B50" i="8" s="1"/>
  <c r="AE22" i="11"/>
  <c r="AA27" i="5"/>
  <c r="AA15" i="11" s="1"/>
  <c r="AA33" i="5"/>
  <c r="B29" i="8" s="1"/>
  <c r="AA70" i="5"/>
  <c r="AE19" i="11"/>
  <c r="AE18" i="11"/>
  <c r="AA116" i="5"/>
  <c r="AA20" i="11" s="1"/>
  <c r="AE12" i="11"/>
  <c r="M12" i="11" s="1"/>
  <c r="L12" i="11" s="1"/>
  <c r="AA71" i="5"/>
  <c r="AE21" i="11"/>
  <c r="AE16" i="11"/>
  <c r="AE14" i="11"/>
  <c r="AA22" i="11"/>
  <c r="AM22" i="13"/>
  <c r="T22" i="13" s="1"/>
  <c r="AJ22" i="13"/>
  <c r="R22" i="13" s="1"/>
  <c r="B83" i="8"/>
  <c r="B101" i="8"/>
  <c r="B104" i="8"/>
  <c r="AA19" i="11"/>
  <c r="V117" i="8"/>
  <c r="W122" i="8" a="1"/>
  <c r="W122" i="8" s="1"/>
  <c r="AA16" i="11"/>
  <c r="AM16" i="13"/>
  <c r="T16" i="13" s="1"/>
  <c r="B65" i="8"/>
  <c r="B68" i="8"/>
  <c r="V119" i="8"/>
  <c r="V118" i="8"/>
  <c r="V114" i="8" s="1"/>
  <c r="W123" i="8"/>
  <c r="AA14" i="11"/>
  <c r="AJ14" i="13"/>
  <c r="R14" i="13" s="1"/>
  <c r="AM14" i="13"/>
  <c r="T14" i="13" s="1"/>
  <c r="B56" i="8"/>
  <c r="AE4" i="13"/>
  <c r="O27" i="13" s="1"/>
  <c r="E33" i="14"/>
  <c r="E34" i="14"/>
  <c r="N24" i="13"/>
  <c r="AM17" i="13"/>
  <c r="T17" i="13" s="1"/>
  <c r="AJ17" i="13"/>
  <c r="R17" i="13" s="1"/>
  <c r="AA21" i="11"/>
  <c r="AJ23" i="13"/>
  <c r="R23" i="13" s="1"/>
  <c r="AA18" i="11"/>
  <c r="AJ15" i="13" l="1"/>
  <c r="R15" i="13" s="1"/>
  <c r="AJ16" i="13"/>
  <c r="R16" i="13" s="1"/>
  <c r="AJ18" i="13"/>
  <c r="R18" i="13" s="1"/>
  <c r="AJ21" i="13"/>
  <c r="R21" i="13" s="1"/>
  <c r="AM21" i="13"/>
  <c r="T21" i="13" s="1"/>
  <c r="B86" i="8"/>
  <c r="AM23" i="13"/>
  <c r="T23" i="13" s="1"/>
  <c r="B59" i="8"/>
  <c r="D121" i="8" s="1" a="1"/>
  <c r="D121" i="8" s="1"/>
  <c r="D116" i="8" s="1"/>
  <c r="AJ20" i="13"/>
  <c r="R20" i="13" s="1"/>
  <c r="AM18" i="13"/>
  <c r="T18" i="13" s="1"/>
  <c r="AM20" i="13"/>
  <c r="T20" i="13" s="1"/>
  <c r="AM19" i="13"/>
  <c r="T19" i="13" s="1"/>
  <c r="AJ19" i="13"/>
  <c r="R19" i="13" s="1"/>
  <c r="AM15" i="13"/>
  <c r="T15" i="13" s="1"/>
  <c r="M23" i="11"/>
  <c r="L23" i="11" s="1"/>
  <c r="Z23" i="11"/>
  <c r="M17" i="11"/>
  <c r="L17" i="11" s="1"/>
  <c r="Z17" i="11"/>
  <c r="N27" i="13"/>
  <c r="E32" i="14" s="1"/>
  <c r="F32" i="14"/>
  <c r="M20" i="11"/>
  <c r="L20" i="11" s="1"/>
  <c r="Z20" i="11"/>
  <c r="M16" i="11"/>
  <c r="L16" i="11" s="1"/>
  <c r="Z16" i="11"/>
  <c r="M19" i="11"/>
  <c r="L19" i="11" s="1"/>
  <c r="Z19" i="11"/>
  <c r="M18" i="11"/>
  <c r="L18" i="11" s="1"/>
  <c r="Z18" i="11"/>
  <c r="M21" i="11"/>
  <c r="L21" i="11" s="1"/>
  <c r="Z21" i="11"/>
  <c r="AA24" i="11"/>
  <c r="M14" i="11"/>
  <c r="Z14" i="11"/>
  <c r="X123" i="8"/>
  <c r="W118" i="8"/>
  <c r="W114" i="8" s="1"/>
  <c r="W119" i="8"/>
  <c r="M15" i="11"/>
  <c r="L15" i="11" s="1"/>
  <c r="Z15" i="11"/>
  <c r="X122" i="8" a="1"/>
  <c r="X122" i="8" s="1"/>
  <c r="W117" i="8"/>
  <c r="M22" i="11"/>
  <c r="L22" i="11" s="1"/>
  <c r="Z22" i="11"/>
  <c r="T121" i="8" l="1" a="1"/>
  <c r="T121" i="8" s="1"/>
  <c r="T116" i="8" s="1"/>
  <c r="M26" i="13"/>
  <c r="D120" i="8"/>
  <c r="D115" i="8" s="1"/>
  <c r="AD3" i="13"/>
  <c r="AD2" i="13" s="1"/>
  <c r="Y122" i="8" a="1"/>
  <c r="Y122" i="8" s="1"/>
  <c r="X117" i="8"/>
  <c r="X119" i="8"/>
  <c r="X118" i="8"/>
  <c r="X114" i="8" s="1"/>
  <c r="Y123" i="8"/>
  <c r="Z24" i="11"/>
  <c r="M24" i="11"/>
  <c r="L14" i="11"/>
  <c r="L24" i="11" s="1"/>
  <c r="AE3" i="13"/>
  <c r="M25" i="13"/>
  <c r="T120" i="8" l="1"/>
  <c r="T115" i="8" s="1"/>
  <c r="U121" i="8" a="1"/>
  <c r="U121" i="8" s="1"/>
  <c r="U120" i="8" s="1"/>
  <c r="U115" i="8" s="1"/>
  <c r="L25" i="13"/>
  <c r="D30" i="14" s="1"/>
  <c r="L25" i="11"/>
  <c r="L10" i="11"/>
  <c r="M10" i="13" s="1"/>
  <c r="O26" i="13"/>
  <c r="AE2" i="13"/>
  <c r="M10" i="11"/>
  <c r="N10" i="13" s="1"/>
  <c r="L26" i="13"/>
  <c r="M25" i="11"/>
  <c r="Z123" i="8"/>
  <c r="Y119" i="8"/>
  <c r="Y118" i="8"/>
  <c r="Y114" i="8" s="1"/>
  <c r="Z122" i="8" a="1"/>
  <c r="Z122" i="8" s="1"/>
  <c r="Y117" i="8"/>
  <c r="U116" i="8" l="1"/>
  <c r="V121" i="8" a="1"/>
  <c r="V121" i="8" s="1"/>
  <c r="V120" i="8" s="1"/>
  <c r="V115" i="8" s="1"/>
  <c r="Z118" i="8"/>
  <c r="Z114" i="8" s="1"/>
  <c r="AA123" i="8"/>
  <c r="Z119" i="8"/>
  <c r="Z117" i="8"/>
  <c r="AA122" i="8" a="1"/>
  <c r="AA122" i="8" s="1"/>
  <c r="G9" i="11"/>
  <c r="F31" i="14"/>
  <c r="N26" i="13"/>
  <c r="E31" i="14" s="1"/>
  <c r="O25" i="13"/>
  <c r="D31" i="14"/>
  <c r="AC26" i="13"/>
  <c r="AD26" i="13"/>
  <c r="W121" i="8" l="1" a="1"/>
  <c r="W121" i="8" s="1"/>
  <c r="X121" i="8" s="1" a="1"/>
  <c r="X121" i="8" s="1"/>
  <c r="V116" i="8"/>
  <c r="F30" i="14"/>
  <c r="N25" i="13"/>
  <c r="E30" i="14" s="1"/>
  <c r="AB123" i="8"/>
  <c r="AA119" i="8"/>
  <c r="AA118" i="8"/>
  <c r="AA114" i="8" s="1"/>
  <c r="AA117" i="8"/>
  <c r="AB122" i="8" a="1"/>
  <c r="AB122" i="8" s="1"/>
  <c r="W116" i="8" l="1"/>
  <c r="W120" i="8"/>
  <c r="W115" i="8" s="1"/>
  <c r="AB117" i="8"/>
  <c r="AC122" i="8" a="1"/>
  <c r="AC122" i="8" s="1"/>
  <c r="AB118" i="8"/>
  <c r="AB114" i="8" s="1"/>
  <c r="AC123" i="8"/>
  <c r="AB119" i="8"/>
  <c r="Y121" i="8" a="1"/>
  <c r="Y121" i="8" s="1"/>
  <c r="X116" i="8"/>
  <c r="X120" i="8"/>
  <c r="X115" i="8" s="1"/>
  <c r="AD123" i="8" l="1"/>
  <c r="AC118" i="8"/>
  <c r="AC114" i="8" s="1"/>
  <c r="AC119" i="8"/>
  <c r="Z121" i="8" a="1"/>
  <c r="Z121" i="8" s="1"/>
  <c r="Y116" i="8"/>
  <c r="Y120" i="8"/>
  <c r="Y115" i="8" s="1"/>
  <c r="AC117" i="8"/>
  <c r="AD122" i="8" a="1"/>
  <c r="AD122" i="8" s="1"/>
  <c r="Z116" i="8" l="1"/>
  <c r="AA121" i="8" a="1"/>
  <c r="AA121" i="8" s="1"/>
  <c r="Z120" i="8"/>
  <c r="Z115" i="8" s="1"/>
  <c r="AE122" i="8" a="1"/>
  <c r="AE122" i="8" s="1"/>
  <c r="AE117" i="8" s="1"/>
  <c r="AD117" i="8"/>
  <c r="AD118" i="8"/>
  <c r="AD114" i="8" s="1"/>
  <c r="AD119" i="8"/>
  <c r="AE123" i="8"/>
  <c r="J10" i="8" s="1"/>
  <c r="AB121" i="8" l="1" a="1"/>
  <c r="AB121" i="8" s="1"/>
  <c r="AA116" i="8"/>
  <c r="AA120" i="8"/>
  <c r="AA115" i="8" s="1"/>
  <c r="AE119" i="8"/>
  <c r="J10" i="13" s="1"/>
  <c r="G10" i="13" s="1"/>
  <c r="AF123" i="8"/>
  <c r="AE118" i="8"/>
  <c r="AE114" i="8" s="1"/>
  <c r="AB116" i="8" l="1"/>
  <c r="AC121" i="8" a="1"/>
  <c r="AC121" i="8" s="1"/>
  <c r="AB120" i="8"/>
  <c r="AB115" i="8" s="1"/>
  <c r="AD121" i="8" l="1" a="1"/>
  <c r="AD121" i="8" s="1"/>
  <c r="AC116" i="8"/>
  <c r="AC120" i="8"/>
  <c r="AC115" i="8" s="1"/>
  <c r="AE121" i="8" l="1" a="1"/>
  <c r="AE121" i="8" s="1"/>
  <c r="AD116" i="8"/>
  <c r="AD120" i="8"/>
  <c r="AD115" i="8" s="1"/>
  <c r="AE116" i="8" l="1"/>
  <c r="AF121" i="8"/>
  <c r="AE120" i="8"/>
  <c r="AE115" i="8" l="1"/>
  <c r="AF120" i="8"/>
  <c r="AF122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<sst xmlns="http://schemas.openxmlformats.org/spreadsheetml/2006/main" count="1967" uniqueCount="605">
  <si>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</si>
  <si>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</si>
  <si>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</si>
  <si>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</si>
  <si>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</si>
  <si>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</si>
  <si>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</si>
  <si>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</si>
  <si>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</si>
  <si>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</si>
  <si>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</si>
  <si>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</si>
  <si>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</si>
  <si>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</si>
  <si>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</si>
  <si>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</si>
  <si>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</si>
  <si>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</si>
  <si>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</si>
  <si>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</si>
  <si>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</si>
  <si>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</si>
  <si>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</si>
  <si>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</si>
  <si>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</si>
  <si>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</si>
  <si>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</si>
  <si>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</si>
  <si>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</si>
  <si>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</si>
  <si>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</si>
  <si>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</si>
  <si>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</si>
  <si>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</si>
  <si>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</si>
  <si>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</si>
  <si>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</si>
  <si>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</si>
  <si>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</si>
  <si>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</si>
  <si>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</si>
  <si>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</si>
  <si>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</si>
  <si>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</si>
  <si>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</si>
  <si>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</si>
  <si>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</si>
  <si>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</si>
  <si>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</si>
  <si>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</si>
  <si>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</si>
  <si>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</si>
  <si>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</si>
  <si>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</si>
  <si>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</si>
  <si>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</si>
  <si>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</si>
  <si>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</si>
  <si>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</si>
  <si>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</si>
  <si>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</si>
  <si>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</si>
  <si>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</si>
  <si>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</si>
  <si>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</si>
  <si>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</si>
  <si>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</si>
  <si>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</si>
  <si>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</si>
  <si>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</si>
  <si>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</si>
  <si>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</si>
  <si>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</si>
  <si>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</si>
  <si>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</si>
  <si>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</si>
  <si>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</si>
  <si>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</si>
  <si>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</si>
  <si>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</si>
  <si>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</si>
  <si>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</si>
  <si>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</si>
  <si>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</si>
  <si>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</si>
  <si>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</si>
  <si>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</si>
  <si>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</si>
  <si>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</si>
  <si>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</si>
  <si>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</si>
  <si>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</si>
  <si>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</si>
  <si>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</si>
  <si>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</si>
  <si>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</si>
  <si>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</si>
  <si>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</si>
  <si>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</si>
  <si>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</si>
  <si>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</si>
  <si>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</si>
  <si>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</si>
  <si>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</si>
  <si>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</si>
  <si>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</si>
  <si>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</si>
  <si>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</si>
  <si>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</si>
  <si>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</si>
  <si>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</si>
  <si>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</si>
  <si>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</si>
  <si>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</si>
  <si>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</si>
  <si>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</si>
  <si>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</si>
  <si>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</si>
  <si>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</si>
  <si>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</si>
  <si>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</si>
  <si>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</si>
  <si>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</si>
  <si>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</si>
  <si>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</si>
  <si>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</si>
  <si>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</si>
  <si>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</si>
  <si>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</si>
  <si>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</si>
  <si>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</si>
  <si>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</si>
  <si>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</si>
  <si>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</si>
  <si>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</si>
  <si>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</si>
  <si>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</si>
  <si>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</si>
  <si>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</si>
  <si>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</si>
  <si>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</si>
  <si>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</si>
  <si>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</si>
  <si>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</si>
  <si>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</si>
  <si>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</si>
  <si>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</si>
  <si>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</si>
  <si>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</si>
  <si>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</si>
  <si>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</si>
  <si>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</si>
  <si>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</si>
  <si>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</si>
  <si>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</si>
  <si>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</si>
  <si>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</si>
  <si>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</si>
  <si>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</si>
  <si>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</si>
  <si>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</si>
  <si>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</si>
  <si>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</si>
  <si>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</si>
  <si>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</si>
  <si>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</si>
  <si>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</si>
  <si>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</si>
  <si>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</si>
  <si>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</si>
  <si>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</si>
  <si>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</si>
  <si>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</si>
  <si>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</si>
  <si>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</si>
  <si>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</si>
  <si>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</si>
  <si>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</si>
  <si>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</si>
  <si>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</si>
  <si>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</si>
  <si>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</si>
  <si>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</si>
  <si>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</si>
  <si>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</si>
  <si>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</si>
  <si>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</si>
  <si>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</si>
  <si>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</si>
  <si>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</si>
  <si>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</si>
  <si>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</si>
  <si>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</si>
  <si>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</si>
  <si>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</si>
  <si>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</si>
  <si>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</si>
  <si>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</si>
  <si>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</si>
  <si>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</si>
  <si>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</si>
  <si>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</si>
  <si>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</si>
  <si>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</si>
  <si>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</si>
  <si>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</si>
  <si>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</si>
  <si>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</si>
  <si>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</si>
  <si>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</si>
  <si>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</si>
  <si>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</si>
  <si>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</si>
  <si>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</si>
  <si>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</si>
  <si>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</si>
  <si>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</si>
  <si>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</si>
  <si>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</si>
  <si>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</si>
  <si>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</si>
  <si>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</si>
  <si>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</si>
  <si>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</si>
  <si>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</si>
  <si>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</si>
  <si>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</si>
  <si>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</si>
  <si>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</si>
  <si>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</si>
  <si>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</si>
  <si>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</si>
  <si>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</si>
  <si>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</si>
  <si>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</si>
  <si>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</si>
  <si>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</si>
  <si>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</si>
  <si>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</si>
  <si>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</si>
  <si>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</si>
  <si>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</si>
  <si>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</si>
  <si>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</si>
  <si>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</si>
  <si>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</si>
  <si>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</si>
  <si>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</si>
  <si>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</si>
  <si>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</si>
  <si>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</si>
  <si>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</si>
  <si>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</si>
  <si>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</si>
  <si>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</si>
  <si>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</si>
  <si>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</si>
  <si>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</si>
  <si>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</si>
  <si>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</si>
  <si>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</si>
  <si>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</si>
  <si>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</si>
  <si>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</si>
  <si>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</si>
  <si>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</si>
  <si>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</si>
  <si>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</si>
  <si>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</si>
  <si>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</si>
  <si>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</si>
  <si>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</si>
  <si>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</si>
  <si>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</si>
  <si>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</si>
  <si>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</si>
  <si>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</si>
  <si>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</si>
  <si>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</si>
  <si>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</si>
  <si>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</si>
  <si>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</si>
  <si>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</si>
  <si>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</si>
  <si>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</si>
  <si>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</si>
  <si>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</si>
  <si>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</si>
  <si>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</si>
  <si>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</si>
  <si>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</si>
  <si>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</si>
  <si>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</si>
  <si>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</si>
  <si>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</si>
  <si>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</si>
  <si>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</si>
  <si>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</si>
  <si>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</si>
  <si>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</si>
  <si>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</si>
  <si>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</si>
  <si>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</si>
  <si>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</si>
  <si>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</si>
  <si>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</si>
  <si>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</si>
  <si>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</si>
  <si>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</si>
  <si>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</si>
  <si>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</si>
  <si>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</si>
  <si>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</si>
  <si>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</si>
  <si>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</si>
  <si>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</si>
  <si>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</si>
  <si>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</si>
  <si>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</si>
  <si>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</si>
  <si>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</si>
  <si>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</si>
  <si>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</si>
  <si>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</si>
  <si>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</si>
  <si>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</si>
  <si>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</si>
  <si>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</si>
  <si>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</si>
  <si>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</si>
  <si>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</si>
  <si>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</si>
  <si>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</si>
  <si>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</si>
  <si>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</si>
  <si>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</si>
  <si>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</si>
  <si>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</si>
  <si>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</si>
  <si>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</si>
  <si>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</si>
  <si>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</si>
  <si>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</si>
  <si>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</si>
  <si>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</si>
  <si>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</si>
  <si>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</si>
  <si>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</si>
  <si>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</si>
  <si>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</si>
  <si>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</si>
  <si>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</si>
  <si>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</si>
  <si>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</si>
  <si>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</si>
  <si>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</si>
  <si>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</si>
  <si>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</si>
  <si>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</si>
  <si>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</si>
  <si>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</si>
  <si>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</si>
  <si>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</si>
  <si>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</si>
  <si>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</si>
  <si>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</si>
  <si>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</si>
  <si>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</si>
  <si>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</si>
  <si>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</si>
  <si>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</si>
  <si>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</si>
  <si>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</si>
  <si>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</si>
  <si>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</si>
  <si>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</si>
  <si>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</si>
  <si>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</si>
  <si>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</si>
  <si>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</si>
  <si>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</si>
  <si>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</si>
  <si>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</si>
  <si>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</si>
  <si>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</si>
  <si>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</si>
  <si>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</si>
  <si>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</si>
  <si>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</si>
  <si>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</si>
  <si>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</si>
  <si>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</si>
  <si>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</si>
  <si>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</si>
  <si>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</si>
  <si>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</si>
  <si>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</si>
  <si>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</si>
  <si>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</si>
  <si>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</si>
  <si>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</si>
  <si>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</si>
  <si>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</si>
  <si>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</si>
  <si>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</si>
  <si>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</si>
  <si>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</si>
  <si>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</si>
  <si>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</si>
  <si>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</si>
  <si>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</si>
  <si>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</si>
  <si>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</si>
  <si>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</si>
  <si>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</si>
  <si>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</si>
  <si>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</si>
  <si>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</si>
  <si>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</si>
  <si>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</si>
  <si>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</si>
  <si>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</si>
  <si>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</si>
  <si>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</si>
  <si>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</si>
  <si>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</si>
  <si>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</si>
  <si>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</si>
  <si>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</si>
  <si>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</si>
  <si>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</si>
  <si>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</si>
  <si>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</si>
  <si>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</si>
  <si>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</si>
  <si>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</si>
  <si>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</si>
  <si>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</si>
  <si>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</si>
  <si>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</si>
  <si>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</si>
  <si>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</si>
  <si>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</si>
  <si>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</si>
  <si>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</si>
  <si>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</si>
  <si>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</si>
  <si>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</si>
  <si>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NÃO DESONERADO</t>
  </si>
  <si>
    <t>SINAPI-I</t>
  </si>
  <si>
    <t xml:space="preserve">COBERTURA </t>
  </si>
  <si>
    <t>91852</t>
  </si>
  <si>
    <t>1872</t>
  </si>
  <si>
    <t>92023</t>
  </si>
  <si>
    <t>938</t>
  </si>
  <si>
    <t>939</t>
  </si>
  <si>
    <t>96111</t>
  </si>
  <si>
    <t>PISO</t>
  </si>
  <si>
    <t>88489</t>
  </si>
  <si>
    <t>96558</t>
  </si>
  <si>
    <t>87792</t>
  </si>
  <si>
    <t>104958</t>
  </si>
  <si>
    <t>94213</t>
  </si>
  <si>
    <t>OSCAR BARELA</t>
  </si>
  <si>
    <t>PREFEITO MUNICIPAL</t>
  </si>
  <si>
    <t>RENATA LORENZET</t>
  </si>
  <si>
    <t>207.601-3</t>
  </si>
  <si>
    <t>ENGENHEIRA CIVIL</t>
  </si>
  <si>
    <t xml:space="preserve">ÁGUAS DE CHAPECÓ </t>
  </si>
  <si>
    <t>SERVIÇOS PRELIMINARES</t>
  </si>
  <si>
    <t>103689</t>
  </si>
  <si>
    <t>PREFEITURA MUNICIPAL DE ÁGUAS DE CHAPECÓ</t>
  </si>
  <si>
    <t xml:space="preserve">ESQUADRIAS </t>
  </si>
  <si>
    <t>95305</t>
  </si>
  <si>
    <t>88485</t>
  </si>
  <si>
    <t xml:space="preserve">PINTURA </t>
  </si>
  <si>
    <t>91341</t>
  </si>
  <si>
    <t>94573</t>
  </si>
  <si>
    <t>377</t>
  </si>
  <si>
    <t>36521</t>
  </si>
  <si>
    <t>93441</t>
  </si>
  <si>
    <t>PREVENTIVO DE INCENDIO</t>
  </si>
  <si>
    <t>87273</t>
  </si>
  <si>
    <t>99059</t>
  </si>
  <si>
    <t>90099</t>
  </si>
  <si>
    <t>96546</t>
  </si>
  <si>
    <t>93382</t>
  </si>
  <si>
    <t xml:space="preserve">FUNDAÇÕES </t>
  </si>
  <si>
    <t>105029</t>
  </si>
  <si>
    <t>105023</t>
  </si>
  <si>
    <t>87908</t>
  </si>
  <si>
    <t>Composição</t>
  </si>
  <si>
    <t>01</t>
  </si>
  <si>
    <t>02</t>
  </si>
  <si>
    <t>39805</t>
  </si>
  <si>
    <t xml:space="preserve">INSTALAÇÕES HIDROSSANITÁRIAS </t>
  </si>
  <si>
    <t>89446</t>
  </si>
  <si>
    <t>89987</t>
  </si>
  <si>
    <t>89362</t>
  </si>
  <si>
    <t>89440</t>
  </si>
  <si>
    <t>89449</t>
  </si>
  <si>
    <t>89501</t>
  </si>
  <si>
    <t>89712</t>
  </si>
  <si>
    <t>89714</t>
  </si>
  <si>
    <t>89707</t>
  </si>
  <si>
    <t>89732</t>
  </si>
  <si>
    <t>39361</t>
  </si>
  <si>
    <t>39365</t>
  </si>
  <si>
    <t>03</t>
  </si>
  <si>
    <t>37539</t>
  </si>
  <si>
    <t>38774</t>
  </si>
  <si>
    <t>86915</t>
  </si>
  <si>
    <t>95547</t>
  </si>
  <si>
    <t>37400</t>
  </si>
  <si>
    <t>100871</t>
  </si>
  <si>
    <t>100872</t>
  </si>
  <si>
    <t>100870</t>
  </si>
  <si>
    <t>98110</t>
  </si>
  <si>
    <t>99802</t>
  </si>
  <si>
    <t>102622</t>
  </si>
  <si>
    <t>92762</t>
  </si>
  <si>
    <t>103672</t>
  </si>
  <si>
    <t>37401</t>
  </si>
  <si>
    <t>ACESSÓRIOS  E ACESSIBILIDADE</t>
  </si>
  <si>
    <t>11186</t>
  </si>
  <si>
    <t>10891</t>
  </si>
  <si>
    <t xml:space="preserve">SEDE ESPORTIVA </t>
  </si>
  <si>
    <t>104738</t>
  </si>
  <si>
    <t>98557</t>
  </si>
  <si>
    <t>937</t>
  </si>
  <si>
    <t>38075</t>
  </si>
  <si>
    <t>92000</t>
  </si>
  <si>
    <t>103782</t>
  </si>
  <si>
    <t>40873</t>
  </si>
  <si>
    <t>106059</t>
  </si>
  <si>
    <t>4828</t>
  </si>
  <si>
    <t>04</t>
  </si>
  <si>
    <t>INSTALAÇÕES ELÉTRICAS</t>
  </si>
  <si>
    <t>TELHAMENTO COM TELHA DE AÇO/ALUMINIO E=0,5MM, COM ATE 2 ÁGUAS, INCLUSO IÇAMENTO E CUMEEIRA</t>
  </si>
  <si>
    <t>103366</t>
  </si>
  <si>
    <t>EM CIMA DA CHURRSQUEIRA E NA BASE DA CHURRASQUEIRA</t>
  </si>
  <si>
    <t>OITÃO E LATERAIS</t>
  </si>
  <si>
    <t>AO REDOR DA CHURRASQUEIRA</t>
  </si>
  <si>
    <t>AREA DA EDIFICAÇÃO + BEIRAIS</t>
  </si>
  <si>
    <t>05</t>
  </si>
  <si>
    <t>06</t>
  </si>
  <si>
    <t>RAMAL DE ENTRADA DE ENERGIA</t>
  </si>
  <si>
    <t>101501</t>
  </si>
  <si>
    <t>07</t>
  </si>
  <si>
    <t>93662</t>
  </si>
  <si>
    <t>93664</t>
  </si>
  <si>
    <t>39391</t>
  </si>
  <si>
    <t>100860</t>
  </si>
  <si>
    <t>10422</t>
  </si>
  <si>
    <t>94806</t>
  </si>
  <si>
    <t>94559</t>
  </si>
  <si>
    <t xml:space="preserve">JANELA DE AÇO BASCULANTE </t>
  </si>
  <si>
    <t>36801</t>
  </si>
  <si>
    <t xml:space="preserve">MARMORARIA </t>
  </si>
  <si>
    <t>103675</t>
  </si>
  <si>
    <t>100875</t>
  </si>
  <si>
    <t>100864</t>
  </si>
  <si>
    <t>09</t>
  </si>
  <si>
    <t>08</t>
  </si>
  <si>
    <t>95657</t>
  </si>
  <si>
    <t>SAPATA ISOLADA</t>
  </si>
  <si>
    <t>VIGA BALDRAME</t>
  </si>
  <si>
    <t>96557</t>
  </si>
  <si>
    <t>96543</t>
  </si>
  <si>
    <t xml:space="preserve">SUPRAESTRUTURA </t>
  </si>
  <si>
    <t xml:space="preserve">PILARES </t>
  </si>
  <si>
    <t>43679</t>
  </si>
  <si>
    <t>VIGA CINTA</t>
  </si>
  <si>
    <t xml:space="preserve">PAREDES E REVESTIMENTOS </t>
  </si>
  <si>
    <t>REVESTIMENTOS</t>
  </si>
  <si>
    <t>ALVENARIA</t>
  </si>
  <si>
    <t xml:space="preserve">FORRO </t>
  </si>
  <si>
    <t>36250</t>
  </si>
  <si>
    <t xml:space="preserve">ACABAMENTOS </t>
  </si>
  <si>
    <t>CAMPO DE FUTEBOL</t>
  </si>
  <si>
    <t>39243</t>
  </si>
  <si>
    <t>91926</t>
  </si>
  <si>
    <t>Cotação</t>
  </si>
  <si>
    <t>90777</t>
  </si>
  <si>
    <t xml:space="preserve">PROJETOS E EXECUÇÃO </t>
  </si>
  <si>
    <t>INCENDIO</t>
  </si>
  <si>
    <t>SERVIÇOS COMPLEMENTARES</t>
  </si>
  <si>
    <t xml:space="preserve">PAVIMENTAÇÃO </t>
  </si>
  <si>
    <t xml:space="preserve">SERVIÇOS INICIAIS E LOCAÇÃO </t>
  </si>
  <si>
    <t>98531</t>
  </si>
  <si>
    <t xml:space="preserve">BARRA DE APOIO EM ALUMINIO, COMPRIMENTO 40CM, FIXADA NA PAREDE - FORNECIMENTO E INSTALAÇÃO </t>
  </si>
  <si>
    <t>CONTRATAÇÃO INTEGRADA</t>
  </si>
  <si>
    <t>98524</t>
  </si>
  <si>
    <t>34643</t>
  </si>
  <si>
    <t>96985</t>
  </si>
  <si>
    <t>ILUMINAÇÃO</t>
  </si>
  <si>
    <t xml:space="preserve">ALAMBRADO </t>
  </si>
  <si>
    <t>87275</t>
  </si>
  <si>
    <t>87248</t>
  </si>
  <si>
    <t>100701</t>
  </si>
  <si>
    <t>99861</t>
  </si>
  <si>
    <t>GRADIL METÁLICO</t>
  </si>
  <si>
    <t>SEDE ESPORTIVA, ILUMINAÇÃO E ALAMBRADO DO CAMPO</t>
  </si>
  <si>
    <t>10734903-0</t>
  </si>
  <si>
    <t xml:space="preserve">LIMPEZ DA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</si>
</sst>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0" xfId="33" applyFont="1" applyBorder="1" applyAlignment="1">
      <alignment horizontal="left" vertical="center"/>
    </xf>
    <xf numFmtId="0" fontId="8" fillId="0" borderId="32" xfId="33" applyFont="1" applyBorder="1" applyAlignment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4" fontId="17" fillId="0" borderId="32" xfId="33" applyNumberFormat="1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39" fillId="0" borderId="0" xfId="0" applyFont="1" applyAlignment="1">
      <alignment horizontal="center" textRotation="90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0" fontId="24" fillId="0" borderId="32" xfId="33" applyFont="1" applyBorder="1" applyAlignment="1">
      <alignment horizontal="center" vertical="center"/>
    </xf>
    <xf numFmtId="0" fontId="17" fillId="0" borderId="32" xfId="33" applyFont="1" applyBorder="1" applyAlignment="1">
      <alignment horizontal="center" vertical="center"/>
    </xf>
    <xf numFmtId="0" fontId="24" fillId="0" borderId="31" xfId="35" applyFont="1" applyBorder="1" applyAlignment="1">
      <alignment horizontal="left" vertical="top"/>
    </xf>
    <xf numFmtId="164" fontId="8" fillId="16" borderId="14" xfId="32" applyFont="1" applyFill="1" applyBorder="1" applyAlignment="1" applyProtection="1">
      <alignment horizontal="left"/>
      <protection locked="0"/>
    </xf>
    <xf numFmtId="0" fontId="23" fillId="0" borderId="32" xfId="33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186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24" fillId="17" borderId="32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6" fillId="0" borderId="14" xfId="34" applyFont="1" applyBorder="1" applyAlignment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0" fontId="24" fillId="8" borderId="1" xfId="0" applyFont="1" applyFill="1" applyBorder="1" applyAlignment="1">
      <alignment horizontal="center" wrapText="1"/>
    </xf>
    <xf numFmtId="176" fontId="24" fillId="8" borderId="32" xfId="0" applyNumberFormat="1" applyFont="1" applyFill="1" applyBorder="1" applyAlignment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0" borderId="40" xfId="0" applyBorder="1" applyAlignment="1">
      <alignment horizontal="left"/>
    </xf>
    <xf numFmtId="0" fontId="24" fillId="0" borderId="32" xfId="0" applyFont="1" applyBorder="1" applyAlignment="1">
      <alignment horizontal="right" vertic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4" xfId="37" applyNumberFormat="1" applyFill="1" applyBorder="1" applyAlignment="1" applyProtection="1">
      <alignment horizontal="center"/>
    </xf>
    <xf numFmtId="10" fontId="56" fillId="0" borderId="10" xfId="37" applyNumberFormat="1" applyFill="1" applyBorder="1" applyAlignment="1" applyProtection="1">
      <alignment horizontal="center"/>
    </xf>
    <xf numFmtId="10" fontId="56" fillId="0" borderId="31" xfId="37" applyNumberFormat="1" applyFill="1" applyBorder="1" applyAlignment="1" applyProtection="1">
      <alignment horizontal="center"/>
    </xf>
    <xf numFmtId="10" fontId="56" fillId="0" borderId="0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177" fontId="56" fillId="0" borderId="47" xfId="48" applyNumberFormat="1" applyFill="1" applyBorder="1" applyAlignment="1" applyProtection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0" fontId="24" fillId="8" borderId="32" xfId="0" applyFont="1" applyFill="1" applyBorder="1" applyAlignment="1">
      <alignment horizontal="center"/>
    </xf>
    <xf numFmtId="0" fontId="0" fillId="18" borderId="40" xfId="0" applyFill="1" applyBorder="1"/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23" fillId="6" borderId="33" xfId="0" applyFont="1" applyFill="1" applyBorder="1" applyAlignment="1">
      <alignment horizontal="left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0" fillId="0" borderId="14" xfId="0" applyBorder="1" applyAlignment="1">
      <alignment horizontal="center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4" fontId="24" fillId="0" borderId="31" xfId="0" applyNumberFormat="1" applyFont="1" applyBorder="1" applyAlignment="1">
      <alignment horizontal="left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398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701" y="971522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22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D27" sqref="D27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438</v>
      </c>
    </row>
    <row r="3" spans="1:15" ht="22.5" customHeight="1" x14ac:dyDescent="0.2">
      <c r="A3" s="454"/>
      <c r="B3" s="456"/>
      <c r="C3" s="456"/>
      <c r="D3" s="456"/>
      <c r="E3" s="577"/>
      <c r="F3" s="577"/>
      <c r="G3" s="577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2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6" t="str">
        <f>IF($O$3&lt;&gt;2,"DOCUMENTAÇÃO DA PROPOSTA","PROPOSTA: Para visualizar/preencher esta seção, altere o TIPO DE ORÇAMENTO para 'Proposto'")</f>
        <v>DOCUMENTAÇÃO DA PROPOSTA</v>
      </c>
      <c r="C8" s="576"/>
      <c r="D8" s="576"/>
      <c r="E8" s="576"/>
      <c r="F8" s="576"/>
      <c r="G8" s="576"/>
      <c r="H8" s="576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08-2026.xlsm.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6"/>
      <c r="D20" s="576"/>
      <c r="E20" s="576"/>
      <c r="F20" s="576"/>
      <c r="G20" s="576"/>
      <c r="H20" s="576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397" priority="70" stopIfTrue="1">
      <formula>TIPOORCAMENTO="Licitado"</formula>
    </cfRule>
  </conditionalFormatting>
  <conditionalFormatting sqref="C18:G18 E22:E24">
    <cfRule type="expression" dxfId="396" priority="71" stopIfTrue="1">
      <formula>TIPOORCAMENTO&lt;&gt;"Licitado"</formula>
    </cfRule>
  </conditionalFormatting>
  <conditionalFormatting sqref="C22">
    <cfRule type="expression" dxfId="395" priority="73" stopIfTrue="1">
      <formula>OR(TIPOORCAMENTO&lt;&gt;"Licitado",ACOMPANHAMENTO&lt;&gt;"PLE")</formula>
    </cfRule>
  </conditionalFormatting>
  <conditionalFormatting sqref="G22">
    <cfRule type="expression" dxfId="394" priority="74" stopIfTrue="1">
      <formula>OR(TIPOORCAMENTO&lt;&gt;"Licitado",ACOMPANHAMENTO&lt;&gt;"BM")</formula>
    </cfRule>
  </conditionalFormatting>
  <conditionalFormatting sqref="B16:H16 B20:H20">
    <cfRule type="expression" dxfId="393" priority="599" stopIfTrue="1">
      <formula>$O$3&lt;&gt;2</formula>
    </cfRule>
  </conditionalFormatting>
  <conditionalFormatting sqref="B8:H8">
    <cfRule type="expression" dxfId="392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412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415</v>
      </c>
    </row>
    <row r="13" spans="1:4" ht="15" x14ac:dyDescent="0.25">
      <c r="A13" s="4"/>
      <c r="B13" s="48" t="s">
        <v>413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416</v>
      </c>
    </row>
    <row r="15" spans="1:4" ht="15" x14ac:dyDescent="0.2">
      <c r="A15" s="476"/>
      <c r="C15" s="49" t="str">
        <f>IF(D15&lt;&gt;"","▪","")</f>
        <v>▪</v>
      </c>
      <c r="D15" s="3" t="s">
        <v>417</v>
      </c>
    </row>
    <row r="16" spans="1:4" x14ac:dyDescent="0.2">
      <c r="A16" s="480"/>
    </row>
    <row r="17" spans="1:4" ht="18.75" x14ac:dyDescent="0.3">
      <c r="A17" s="563" t="s">
        <v>419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415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428</v>
      </c>
    </row>
    <row r="21" spans="1:4" ht="15" x14ac:dyDescent="0.25">
      <c r="A21" s="476"/>
      <c r="B21" s="48" t="s">
        <v>426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427</v>
      </c>
    </row>
    <row r="23" spans="1:4" ht="15" x14ac:dyDescent="0.25">
      <c r="A23" s="476"/>
      <c r="B23" s="48" t="s">
        <v>420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424</v>
      </c>
    </row>
    <row r="25" spans="1:4" ht="15" x14ac:dyDescent="0.25">
      <c r="A25" s="476"/>
      <c r="B25" s="48" t="s">
        <v>421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423</v>
      </c>
    </row>
    <row r="27" spans="1:4" ht="15" x14ac:dyDescent="0.25">
      <c r="A27" s="476"/>
      <c r="B27" s="48" t="s">
        <v>425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422</v>
      </c>
    </row>
    <row r="29" spans="1:4" x14ac:dyDescent="0.2">
      <c r="A29" s="480"/>
    </row>
    <row r="30" spans="1:4" ht="18.75" x14ac:dyDescent="0.3">
      <c r="A30" s="563" t="s">
        <v>429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428</v>
      </c>
    </row>
    <row r="33" spans="1:5" ht="15" x14ac:dyDescent="0.25">
      <c r="A33" s="4"/>
      <c r="B33" s="48" t="s">
        <v>430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431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432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433</v>
      </c>
    </row>
    <row r="40" spans="1:5" ht="15" x14ac:dyDescent="0.25">
      <c r="A40" s="4"/>
      <c r="B40" s="48" t="s">
        <v>420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434</v>
      </c>
    </row>
    <row r="42" spans="1:5" ht="15" x14ac:dyDescent="0.25">
      <c r="A42" s="4"/>
      <c r="B42" s="48" t="s">
        <v>421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435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436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437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441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444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445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I16" sqref="I16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79" t="s">
        <v>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78" t="s">
        <v>25</v>
      </c>
      <c r="F3" s="57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409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471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468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/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442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/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/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78" t="s">
        <v>102</v>
      </c>
      <c r="F15" s="578"/>
      <c r="J15" s="13" t="s">
        <v>20</v>
      </c>
    </row>
    <row r="16" spans="5:44" ht="25.5" x14ac:dyDescent="0.2">
      <c r="E16" s="25" t="s">
        <v>103</v>
      </c>
      <c r="F16" s="26" t="s">
        <v>602</v>
      </c>
      <c r="J16" s="13" t="s">
        <v>21</v>
      </c>
    </row>
    <row r="17" spans="5:10" x14ac:dyDescent="0.2">
      <c r="E17" s="18" t="s">
        <v>104</v>
      </c>
      <c r="F17" s="27" t="s">
        <v>526</v>
      </c>
      <c r="J17" s="13" t="s">
        <v>22</v>
      </c>
    </row>
    <row r="18" spans="5:10" x14ac:dyDescent="0.2">
      <c r="E18" s="18" t="s">
        <v>105</v>
      </c>
      <c r="F18" s="28" t="s">
        <v>448</v>
      </c>
      <c r="J18" s="13" t="s">
        <v>23</v>
      </c>
    </row>
    <row r="19" spans="5:10" x14ac:dyDescent="0.2">
      <c r="E19" s="29" t="s">
        <v>106</v>
      </c>
      <c r="F19" s="30">
        <v>46235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78" t="s">
        <v>107</v>
      </c>
      <c r="F21" s="578"/>
      <c r="J21" s="13"/>
    </row>
    <row r="22" spans="5:10" x14ac:dyDescent="0.2">
      <c r="E22" s="16" t="s">
        <v>108</v>
      </c>
      <c r="F22" s="32" t="s">
        <v>465</v>
      </c>
    </row>
    <row r="23" spans="5:10" x14ac:dyDescent="0.2">
      <c r="E23" s="18" t="s">
        <v>109</v>
      </c>
      <c r="F23" s="19" t="s">
        <v>466</v>
      </c>
    </row>
    <row r="24" spans="5:10" x14ac:dyDescent="0.2">
      <c r="E24" s="18" t="s">
        <v>110</v>
      </c>
      <c r="F24" s="19" t="s">
        <v>603</v>
      </c>
    </row>
    <row r="25" spans="5:10" x14ac:dyDescent="0.2">
      <c r="E25" s="22" t="s">
        <v>111</v>
      </c>
      <c r="F25" s="33">
        <f ca="1">TODAY()</f>
        <v>46310</v>
      </c>
    </row>
    <row r="27" spans="5:10" ht="15" x14ac:dyDescent="0.2">
      <c r="E27" s="578" t="s">
        <v>112</v>
      </c>
      <c r="F27" s="578"/>
    </row>
    <row r="28" spans="5:10" x14ac:dyDescent="0.2">
      <c r="E28" s="14" t="s">
        <v>108</v>
      </c>
      <c r="F28" s="34" t="s">
        <v>463</v>
      </c>
    </row>
    <row r="29" spans="5:10" x14ac:dyDescent="0.2">
      <c r="E29" s="22" t="s">
        <v>113</v>
      </c>
      <c r="F29" s="35" t="s">
        <v>464</v>
      </c>
    </row>
    <row r="30" spans="5:10" ht="16.5" thickBot="1" x14ac:dyDescent="0.25">
      <c r="E30" s="8"/>
    </row>
    <row r="31" spans="5:10" ht="13.5" thickBot="1" x14ac:dyDescent="0.25">
      <c r="E31" s="573" t="s">
        <v>439</v>
      </c>
      <c r="F31" s="574" t="s">
        <v>440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78" t="s">
        <v>115</v>
      </c>
      <c r="F35" s="57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591</v>
      </c>
    </row>
    <row r="41" spans="5:6" x14ac:dyDescent="0.2">
      <c r="E41" s="29" t="s">
        <v>121</v>
      </c>
      <c r="F41" s="37">
        <v>46174</v>
      </c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78" t="s">
        <v>123</v>
      </c>
      <c r="F46" s="578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>
        <f ca="1">TODAY()</f>
        <v>46310</v>
      </c>
    </row>
    <row r="49" spans="5:6" ht="15.75" x14ac:dyDescent="0.2">
      <c r="E49" s="8"/>
    </row>
    <row r="50" spans="5:6" ht="12.75" customHeight="1" x14ac:dyDescent="0.2">
      <c r="E50" s="578" t="s">
        <v>126</v>
      </c>
      <c r="F50" s="578"/>
    </row>
    <row r="51" spans="5:6" x14ac:dyDescent="0.2">
      <c r="E51" s="14" t="s">
        <v>108</v>
      </c>
      <c r="F51" s="39" t="s">
        <v>465</v>
      </c>
    </row>
    <row r="52" spans="5:6" x14ac:dyDescent="0.2">
      <c r="E52" s="18" t="s">
        <v>127</v>
      </c>
      <c r="F52" s="19" t="s">
        <v>467</v>
      </c>
    </row>
    <row r="53" spans="5:6" x14ac:dyDescent="0.2">
      <c r="E53" s="18" t="s">
        <v>128</v>
      </c>
      <c r="F53" s="19" t="s">
        <v>466</v>
      </c>
    </row>
    <row r="54" spans="5:6" ht="13.5" thickBot="1" x14ac:dyDescent="0.25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78" t="s">
        <v>131</v>
      </c>
      <c r="F59" s="57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391" priority="2" stopIfTrue="1">
      <formula>CAIXA.Modo=FALSE</formula>
    </cfRule>
  </conditionalFormatting>
  <conditionalFormatting sqref="E59:F61">
    <cfRule type="expression" dxfId="390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12" activePane="bottomLeft" state="frozen"/>
      <selection activeCell="E1" sqref="E1"/>
      <selection pane="bottomLeft" activeCell="W35" sqref="W35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604" t="s">
        <v>140</v>
      </c>
      <c r="S1" s="604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605" t="s">
        <v>143</v>
      </c>
      <c r="S2" s="605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600" t="s">
        <v>146</v>
      </c>
      <c r="K4" s="600"/>
      <c r="L4" s="600" t="s">
        <v>446</v>
      </c>
      <c r="M4" s="600"/>
      <c r="N4" s="600" t="s">
        <v>147</v>
      </c>
      <c r="O4" s="600"/>
      <c r="P4" s="600"/>
      <c r="Q4" s="600"/>
      <c r="R4" s="600"/>
      <c r="S4" s="600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603">
        <f>Import.CR</f>
        <v>0</v>
      </c>
      <c r="K5" s="603"/>
      <c r="L5" s="603">
        <f>Import.TransfereGOV</f>
        <v>0</v>
      </c>
      <c r="M5" s="603"/>
      <c r="N5" s="603" t="str">
        <f>Import.Proponente</f>
        <v>PREFEITURA MUNICIPAL DE ÁGUAS DE CHAPECÓ</v>
      </c>
      <c r="O5" s="603"/>
      <c r="P5" s="603"/>
      <c r="Q5" s="603"/>
      <c r="R5" s="603"/>
      <c r="S5" s="603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593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593"/>
      <c r="J7" s="600" t="s">
        <v>151</v>
      </c>
      <c r="K7" s="600"/>
      <c r="L7" s="600"/>
      <c r="M7" s="600"/>
      <c r="N7" s="600"/>
      <c r="O7" s="600"/>
      <c r="P7" s="600"/>
      <c r="Q7" s="600"/>
      <c r="R7" s="600"/>
      <c r="S7" s="600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593"/>
      <c r="J8" s="608" t="str">
        <f>Import.Apelido&amp;" / "&amp;Import.DescLote</f>
        <v xml:space="preserve">SEDE ESPORTIVA, ILUMINAÇÃO E ALAMBRADO DO CAMPO / SEDE ESPORTIVA </v>
      </c>
      <c r="K8" s="608"/>
      <c r="L8" s="608"/>
      <c r="M8" s="608"/>
      <c r="N8" s="608"/>
      <c r="O8" s="608"/>
      <c r="P8" s="608"/>
      <c r="Q8" s="608"/>
      <c r="R8" s="608"/>
      <c r="S8" s="608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593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593"/>
      <c r="J10" s="609" t="s">
        <v>153</v>
      </c>
      <c r="K10" s="609"/>
      <c r="L10" s="609"/>
      <c r="M10" s="609"/>
      <c r="N10" s="609"/>
      <c r="O10" s="609"/>
      <c r="P10" s="609"/>
      <c r="Q10" s="609"/>
      <c r="R10" s="607">
        <v>1</v>
      </c>
      <c r="S10" s="607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606" t="s">
        <v>154</v>
      </c>
      <c r="K11" s="606"/>
      <c r="L11" s="606"/>
      <c r="M11" s="606"/>
      <c r="N11" s="606"/>
      <c r="O11" s="606"/>
      <c r="P11" s="606"/>
      <c r="Q11" s="606"/>
      <c r="R11" s="607">
        <v>0.02</v>
      </c>
      <c r="S11" s="607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602" t="s">
        <v>156</v>
      </c>
      <c r="K14" s="602"/>
      <c r="L14" s="602"/>
      <c r="M14" s="602"/>
      <c r="N14" s="602"/>
      <c r="O14" s="602"/>
      <c r="P14" s="602"/>
      <c r="Q14" s="602"/>
      <c r="R14" s="602"/>
      <c r="S14" s="602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600" t="s">
        <v>157</v>
      </c>
      <c r="K16" s="600"/>
      <c r="L16" s="600"/>
      <c r="M16" s="600"/>
      <c r="N16" s="600"/>
      <c r="O16" s="600"/>
      <c r="P16" s="600"/>
      <c r="Q16" s="600"/>
      <c r="R16" s="600"/>
      <c r="S16" s="600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601" t="s">
        <v>141</v>
      </c>
      <c r="K17" s="601"/>
      <c r="L17" s="601"/>
      <c r="M17" s="601"/>
      <c r="N17" s="601"/>
      <c r="O17" s="601"/>
      <c r="P17" s="601"/>
      <c r="Q17" s="601"/>
      <c r="R17" s="601"/>
      <c r="S17" s="601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9" t="s">
        <v>158</v>
      </c>
      <c r="K19" s="599"/>
      <c r="L19" s="599"/>
      <c r="M19" s="599"/>
      <c r="N19" s="599"/>
      <c r="O19" s="599"/>
      <c r="P19" s="599"/>
      <c r="Q19" s="599"/>
      <c r="R19" s="599" t="s">
        <v>159</v>
      </c>
      <c r="S19" s="590" t="s">
        <v>160</v>
      </c>
      <c r="U19" s="590" t="s">
        <v>161</v>
      </c>
      <c r="V19" s="590"/>
      <c r="W19" s="590"/>
      <c r="X19" s="598" t="s">
        <v>162</v>
      </c>
      <c r="Y19" s="598" t="s">
        <v>163</v>
      </c>
      <c r="Z19" s="598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9"/>
      <c r="K20" s="599"/>
      <c r="L20" s="599"/>
      <c r="M20" s="599"/>
      <c r="N20" s="599"/>
      <c r="O20" s="599"/>
      <c r="P20" s="599"/>
      <c r="Q20" s="599"/>
      <c r="R20" s="599"/>
      <c r="S20" s="590"/>
      <c r="U20" s="590"/>
      <c r="V20" s="590"/>
      <c r="W20" s="590"/>
      <c r="X20" s="598"/>
      <c r="Y20" s="598"/>
      <c r="Z20" s="598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88" t="str">
        <f>IF($J$17=$A$146,"Encargos Sociais incidentes sobre a mão de obra","Administração Central")</f>
        <v>Administração Central</v>
      </c>
      <c r="K21" s="588"/>
      <c r="L21" s="588"/>
      <c r="M21" s="588"/>
      <c r="N21" s="588"/>
      <c r="O21" s="588"/>
      <c r="P21" s="588"/>
      <c r="Q21" s="588"/>
      <c r="R21" s="61" t="str">
        <f>IF($J17=$A$146,"K1","AC")</f>
        <v>AC</v>
      </c>
      <c r="S21" s="62">
        <v>3.6999999999999998E-2</v>
      </c>
      <c r="U21" s="589" t="s">
        <v>166</v>
      </c>
      <c r="V21" s="589"/>
      <c r="W21" s="589"/>
      <c r="X21" s="63">
        <f>VLOOKUP(CONCATENATE(J17,"-",R21),$C$2:$G$136,3,FALSE)</f>
        <v>0.03</v>
      </c>
      <c r="Y21" s="63">
        <f>VLOOKUP(CONCATENATE(J17,"-",R21),$C$2:$G$136,4,FALSE)</f>
        <v>0.04</v>
      </c>
      <c r="Z21" s="63">
        <f>VLOOKUP(CONCATENATE(J17,"-",R21),$C$2:$G$136,5,FALSE)</f>
        <v>5.5E-2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88" t="str">
        <f>IF($J$17=$A$146,"Administração Central da empresa ou consultoria - overhead","Seguro e Garantia")</f>
        <v>Seguro e Garantia</v>
      </c>
      <c r="K22" s="588"/>
      <c r="L22" s="588"/>
      <c r="M22" s="588"/>
      <c r="N22" s="588"/>
      <c r="O22" s="588"/>
      <c r="P22" s="588"/>
      <c r="Q22" s="588"/>
      <c r="R22" s="61" t="str">
        <f>IF($J17=$A$146,"K2","SG")</f>
        <v>SG</v>
      </c>
      <c r="S22" s="62">
        <v>8.9999999999999993E-3</v>
      </c>
      <c r="U22" s="589" t="s">
        <v>166</v>
      </c>
      <c r="V22" s="589"/>
      <c r="W22" s="589"/>
      <c r="X22" s="63">
        <f>VLOOKUP(CONCATENATE(J17,"-",R22),$C$2:$G$136,3,FALSE)</f>
        <v>8.0000000000000002E-3</v>
      </c>
      <c r="Y22" s="63">
        <f>VLOOKUP(CONCATENATE(J17,"-",R22),$C$2:$G$136,4,FALSE)</f>
        <v>8.0000000000000002E-3</v>
      </c>
      <c r="Z22" s="63">
        <f>VLOOKUP(CONCATENATE(J17,"-",R22),$C$2:$G$136,5,FALSE)</f>
        <v>0.01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88" t="str">
        <f>IF($J$17=$A$146,"","Risco")</f>
        <v>Risco</v>
      </c>
      <c r="K23" s="588"/>
      <c r="L23" s="588"/>
      <c r="M23" s="588"/>
      <c r="N23" s="588"/>
      <c r="O23" s="588"/>
      <c r="P23" s="588"/>
      <c r="Q23" s="588"/>
      <c r="R23" s="61" t="str">
        <f>IF($J17=$A$146,"","R")</f>
        <v>R</v>
      </c>
      <c r="S23" s="62">
        <v>1.2E-2</v>
      </c>
      <c r="U23" s="589" t="s">
        <v>166</v>
      </c>
      <c r="V23" s="589"/>
      <c r="W23" s="589"/>
      <c r="X23" s="63">
        <f>VLOOKUP(CONCATENATE(J17,"-",R23),$C$2:$G$136,3,FALSE)</f>
        <v>9.7000000000000003E-3</v>
      </c>
      <c r="Y23" s="63">
        <f>VLOOKUP(CONCATENATE(J17,"-",R23),$C$2:$G$136,4,FALSE)</f>
        <v>1.2699999999999999E-2</v>
      </c>
      <c r="Z23" s="63">
        <f>VLOOKUP(CONCATENATE(J17,"-",R23),$C$2:$G$136,5,FALSE)</f>
        <v>1.2699999999999999E-2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88" t="str">
        <f>IF($J$17=$A$146,"","Despesas Financeiras")</f>
        <v>Despesas Financeiras</v>
      </c>
      <c r="K24" s="588"/>
      <c r="L24" s="588"/>
      <c r="M24" s="588"/>
      <c r="N24" s="588"/>
      <c r="O24" s="588"/>
      <c r="P24" s="588"/>
      <c r="Q24" s="588"/>
      <c r="R24" s="61" t="str">
        <f>IF($J17=$A$146,"","DF")</f>
        <v>DF</v>
      </c>
      <c r="S24" s="62">
        <v>1.0999999999999999E-2</v>
      </c>
      <c r="U24" s="589" t="s">
        <v>166</v>
      </c>
      <c r="V24" s="589"/>
      <c r="W24" s="589"/>
      <c r="X24" s="63">
        <f>VLOOKUP(CONCATENATE(J17,"-",R24),$C$2:$G$136,3,FALSE)</f>
        <v>5.8999999999999999E-3</v>
      </c>
      <c r="Y24" s="63">
        <f>VLOOKUP(CONCATENATE(J17,"-",R24),$C$2:$G$136,4,FALSE)</f>
        <v>1.23E-2</v>
      </c>
      <c r="Z24" s="63">
        <f>VLOOKUP(CONCATENATE(J17,"-",R24),$C$2:$G$136,5,FALSE)</f>
        <v>1.3899999999999999E-2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88" t="str">
        <f>IF($J$17=$A$146,"Margem bruta da empresa de consultoria","Lucro")</f>
        <v>Lucro</v>
      </c>
      <c r="K25" s="588"/>
      <c r="L25" s="588"/>
      <c r="M25" s="588"/>
      <c r="N25" s="588"/>
      <c r="O25" s="588"/>
      <c r="P25" s="588"/>
      <c r="Q25" s="588"/>
      <c r="R25" s="61" t="str">
        <f>IF($J17=$A$146,"K3","L")</f>
        <v>L</v>
      </c>
      <c r="S25" s="62">
        <v>6.1600000000000002E-2</v>
      </c>
      <c r="U25" s="589" t="s">
        <v>166</v>
      </c>
      <c r="V25" s="589"/>
      <c r="W25" s="589"/>
      <c r="X25" s="63">
        <f>VLOOKUP(CONCATENATE(J17,"-",R25),$C$2:$G$136,3,FALSE)</f>
        <v>6.1600000000000002E-2</v>
      </c>
      <c r="Y25" s="63">
        <f>VLOOKUP(CONCATENATE(J17,"-",R25),$C$2:$G$136,4,FALSE)</f>
        <v>7.400000000000001E-2</v>
      </c>
      <c r="Z25" s="63">
        <f>VLOOKUP(CONCATENATE(J17,"-",R25),$C$2:$G$136,5,FALSE)</f>
        <v>8.9600000000000013E-2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88" t="s">
        <v>168</v>
      </c>
      <c r="K26" s="588"/>
      <c r="L26" s="588"/>
      <c r="M26" s="588"/>
      <c r="N26" s="588"/>
      <c r="O26" s="588"/>
      <c r="P26" s="588"/>
      <c r="Q26" s="588"/>
      <c r="R26" s="61" t="s">
        <v>169</v>
      </c>
      <c r="S26" s="62">
        <v>3.6499999999999998E-2</v>
      </c>
      <c r="U26" s="589" t="s">
        <v>166</v>
      </c>
      <c r="V26" s="589"/>
      <c r="W26" s="589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88" t="s">
        <v>170</v>
      </c>
      <c r="K27" s="588"/>
      <c r="L27" s="588"/>
      <c r="M27" s="588"/>
      <c r="N27" s="588"/>
      <c r="O27" s="588"/>
      <c r="P27" s="588"/>
      <c r="Q27" s="588"/>
      <c r="R27" s="61" t="s">
        <v>171</v>
      </c>
      <c r="S27" s="63">
        <f ca="1">IF(AND($J17&lt;&gt;$A$145,COUNTA(OFFSET(S20,1,0,6))&gt;0),$R$11*$R$10,0)</f>
        <v>0.02</v>
      </c>
      <c r="U27" s="589" t="s">
        <v>166</v>
      </c>
      <c r="V27" s="589"/>
      <c r="W27" s="589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88" t="s">
        <v>172</v>
      </c>
      <c r="K28" s="588"/>
      <c r="L28" s="588"/>
      <c r="M28" s="588"/>
      <c r="N28" s="588"/>
      <c r="O28" s="588"/>
      <c r="P28" s="588"/>
      <c r="Q28" s="588"/>
      <c r="R28" s="61" t="s">
        <v>173</v>
      </c>
      <c r="S28" s="63">
        <f ca="1">IF(BDI.Opcao&lt;&gt;"Desonerado",0,IF(AND($J17&lt;&gt;$A$145,COUNTA(OFFSET(S20,1,0,6))&gt;0),4.5%,0%))</f>
        <v>0</v>
      </c>
      <c r="U28" s="589" t="s">
        <v>166</v>
      </c>
      <c r="V28" s="589"/>
      <c r="W28" s="589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88" t="s">
        <v>174</v>
      </c>
      <c r="K29" s="588"/>
      <c r="L29" s="588"/>
      <c r="M29" s="588"/>
      <c r="N29" s="588"/>
      <c r="O29" s="588"/>
      <c r="P29" s="588"/>
      <c r="Q29" s="588"/>
      <c r="R29" s="65" t="s">
        <v>150</v>
      </c>
      <c r="S29" s="63">
        <f ca="1">IF($J17=$A$145,0,ROUND((((1+S21+S22+S23)*(1+S24)*(1+S25)/(1-(S26+S27)))-1),4))</f>
        <v>0.20349999999999999</v>
      </c>
      <c r="U29" s="590" t="str">
        <f ca="1">IF(OR($J$17=$A$146,$J$17=$A$145,AND(S29&gt;=X29,S29&lt;=Z29)),"OK","FORA DO INTERVALO")</f>
        <v>OK</v>
      </c>
      <c r="V29" s="590"/>
      <c r="W29" s="590"/>
      <c r="X29" s="63">
        <f>IF($J17=$A$145,0,VLOOKUP(CONCATENATE($J17,"-",$R29),$C$2:$G$136,3,FALSE))</f>
        <v>0.2034</v>
      </c>
      <c r="Y29" s="63">
        <f>IF($J17=$A$145,0,VLOOKUP(CONCATENATE($J17,"-",$R29),$C$2:$G$136,4,FALSE))</f>
        <v>0.22120000000000001</v>
      </c>
      <c r="Z29" s="63">
        <f>IF($J17=$A$145,0,VLOOKUP(CONCATENATE($J17,"-",$R29),$C$2:$G$136,5,FALSE))</f>
        <v>0.25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1" t="s">
        <v>175</v>
      </c>
      <c r="K30" s="591"/>
      <c r="L30" s="591"/>
      <c r="M30" s="591"/>
      <c r="N30" s="591"/>
      <c r="O30" s="591"/>
      <c r="P30" s="591"/>
      <c r="Q30" s="591"/>
      <c r="R30" s="66" t="s">
        <v>176</v>
      </c>
      <c r="S30" s="67">
        <f ca="1">IF($J17=$A$145,0,ROUND((((1+S21+S22+S23)*(1+S24)*(1+S25)/(1-(S26+S27+S28)))-1),4))</f>
        <v>0.20349999999999999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2" t="str">
        <f ca="1">IF(U29&lt;&gt;"ok","Anexo: Relatório Técnico Circunstanciado justificando a adoção do percentual de cada parcela do BDI.","")</f>
        <v/>
      </c>
      <c r="L32" s="592"/>
      <c r="M32" s="592"/>
      <c r="N32" s="592"/>
      <c r="O32" s="592"/>
      <c r="P32" s="592"/>
      <c r="Q32" s="592"/>
      <c r="R32" s="592"/>
      <c r="S32" s="592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594" t="s">
        <v>178</v>
      </c>
      <c r="K34" s="594"/>
      <c r="L34" s="594"/>
      <c r="M34" s="594"/>
      <c r="N34" s="594"/>
      <c r="O34" s="594"/>
      <c r="P34" s="594"/>
      <c r="Q34" s="594"/>
      <c r="R34" s="594"/>
      <c r="S34" s="594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595" t="s">
        <v>179</v>
      </c>
      <c r="N35" s="596" t="str">
        <f>IF($J17=$A$146,"(1+K1+K2)*(1+K3)","(1+AC + S + R + G)*(1 + DF)*(1+L)")</f>
        <v>(1+AC + S + R + G)*(1 + DF)*(1+L)</v>
      </c>
      <c r="O35" s="596"/>
      <c r="P35" s="596"/>
      <c r="Q35" s="597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595"/>
      <c r="N36" s="587" t="s">
        <v>181</v>
      </c>
      <c r="O36" s="587"/>
      <c r="P36" s="587"/>
      <c r="Q36" s="597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38" s="581"/>
      <c r="L38" s="581"/>
      <c r="M38" s="581"/>
      <c r="N38" s="581"/>
      <c r="O38" s="581"/>
      <c r="P38" s="581"/>
      <c r="Q38" s="581"/>
      <c r="R38" s="581"/>
      <c r="S38" s="581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81"/>
      <c r="L40" s="581"/>
      <c r="M40" s="581"/>
      <c r="N40" s="581"/>
      <c r="O40" s="581"/>
      <c r="P40" s="581"/>
      <c r="Q40" s="581"/>
      <c r="R40" s="581"/>
      <c r="S40" s="581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582"/>
      <c r="K43" s="582"/>
      <c r="L43" s="582"/>
      <c r="M43" s="582"/>
      <c r="N43" s="582"/>
      <c r="O43" s="582"/>
      <c r="P43" s="582"/>
      <c r="Q43" s="582"/>
      <c r="R43" s="582"/>
      <c r="S43" s="582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583" t="str">
        <f>Import.Município</f>
        <v xml:space="preserve">ÁGUAS DE CHAPECÓ </v>
      </c>
      <c r="K45" s="583"/>
      <c r="L45" s="583"/>
      <c r="M45" s="583"/>
      <c r="P45" s="584">
        <f ca="1">DADOS!$F$25</f>
        <v>46310</v>
      </c>
      <c r="Q45" s="584"/>
      <c r="R45" s="584"/>
      <c r="S45" s="584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585" t="s">
        <v>188</v>
      </c>
      <c r="K46" s="585"/>
      <c r="L46" s="585"/>
      <c r="M46" s="585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586"/>
      <c r="K48" s="586"/>
      <c r="L48" s="586"/>
      <c r="M48" s="586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580" t="s">
        <v>190</v>
      </c>
      <c r="K49" s="580"/>
      <c r="L49" s="580"/>
      <c r="M49" s="580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RENATA LORENZET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207.601-3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 t="str">
        <v>10734903-0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602" t="s">
        <v>191</v>
      </c>
      <c r="K54" s="602"/>
      <c r="L54" s="602"/>
      <c r="M54" s="602"/>
      <c r="N54" s="602"/>
      <c r="O54" s="602"/>
      <c r="P54" s="602"/>
      <c r="Q54" s="602"/>
      <c r="R54" s="602"/>
      <c r="S54" s="602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600" t="s">
        <v>157</v>
      </c>
      <c r="K56" s="600"/>
      <c r="L56" s="600"/>
      <c r="M56" s="600"/>
      <c r="N56" s="600"/>
      <c r="O56" s="600"/>
      <c r="P56" s="600"/>
      <c r="Q56" s="600"/>
      <c r="R56" s="600"/>
      <c r="S56" s="600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601" t="s">
        <v>409</v>
      </c>
      <c r="K57" s="601"/>
      <c r="L57" s="601"/>
      <c r="M57" s="601"/>
      <c r="N57" s="601"/>
      <c r="O57" s="601"/>
      <c r="P57" s="601"/>
      <c r="Q57" s="601"/>
      <c r="R57" s="601"/>
      <c r="S57" s="601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599" t="s">
        <v>158</v>
      </c>
      <c r="K59" s="599"/>
      <c r="L59" s="599"/>
      <c r="M59" s="599"/>
      <c r="N59" s="599"/>
      <c r="O59" s="599"/>
      <c r="P59" s="599"/>
      <c r="Q59" s="599"/>
      <c r="R59" s="599" t="s">
        <v>159</v>
      </c>
      <c r="S59" s="590" t="s">
        <v>160</v>
      </c>
      <c r="U59" s="590" t="s">
        <v>161</v>
      </c>
      <c r="V59" s="590"/>
      <c r="W59" s="590"/>
      <c r="X59" s="598" t="s">
        <v>162</v>
      </c>
      <c r="Y59" s="598" t="s">
        <v>163</v>
      </c>
      <c r="Z59" s="598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599"/>
      <c r="K60" s="599"/>
      <c r="L60" s="599"/>
      <c r="M60" s="599"/>
      <c r="N60" s="599"/>
      <c r="O60" s="599"/>
      <c r="P60" s="599"/>
      <c r="Q60" s="599"/>
      <c r="R60" s="599"/>
      <c r="S60" s="590"/>
      <c r="U60" s="590"/>
      <c r="V60" s="590"/>
      <c r="W60" s="590"/>
      <c r="X60" s="598"/>
      <c r="Y60" s="598"/>
      <c r="Z60" s="59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588" t="str">
        <f>IF($J$17=$A$146,"Encargos Sociais incidentes sobre a mão de obra","Administração Central")</f>
        <v>Administração Central</v>
      </c>
      <c r="K61" s="588"/>
      <c r="L61" s="588"/>
      <c r="M61" s="588"/>
      <c r="N61" s="588"/>
      <c r="O61" s="588"/>
      <c r="P61" s="588"/>
      <c r="Q61" s="588"/>
      <c r="R61" s="61" t="str">
        <f>IF($J57=$A$146,"K1","AC")</f>
        <v>AC</v>
      </c>
      <c r="S61" s="62"/>
      <c r="U61" s="589" t="s">
        <v>166</v>
      </c>
      <c r="V61" s="589"/>
      <c r="W61" s="589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588" t="str">
        <f>IF($J$17=$A$146,"Administração Central da empresa ou consultoria - overhead","Seguro e Garantia")</f>
        <v>Seguro e Garantia</v>
      </c>
      <c r="K62" s="588"/>
      <c r="L62" s="588"/>
      <c r="M62" s="588"/>
      <c r="N62" s="588"/>
      <c r="O62" s="588"/>
      <c r="P62" s="588"/>
      <c r="Q62" s="588"/>
      <c r="R62" s="61" t="str">
        <f>IF($J57=$A$146,"K2","SG")</f>
        <v>SG</v>
      </c>
      <c r="S62" s="62"/>
      <c r="U62" s="589" t="s">
        <v>166</v>
      </c>
      <c r="V62" s="589"/>
      <c r="W62" s="589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588" t="str">
        <f>IF($J$17=$A$146,"","Risco")</f>
        <v>Risco</v>
      </c>
      <c r="K63" s="588"/>
      <c r="L63" s="588"/>
      <c r="M63" s="588"/>
      <c r="N63" s="588"/>
      <c r="O63" s="588"/>
      <c r="P63" s="588"/>
      <c r="Q63" s="588"/>
      <c r="R63" s="61" t="str">
        <f>IF($J57=$A$146,"","R")</f>
        <v>R</v>
      </c>
      <c r="S63" s="62"/>
      <c r="U63" s="589" t="s">
        <v>166</v>
      </c>
      <c r="V63" s="589"/>
      <c r="W63" s="589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588" t="str">
        <f>IF($J$17=$A$146,"","Despesas Financeiras")</f>
        <v>Despesas Financeiras</v>
      </c>
      <c r="K64" s="588"/>
      <c r="L64" s="588"/>
      <c r="M64" s="588"/>
      <c r="N64" s="588"/>
      <c r="O64" s="588"/>
      <c r="P64" s="588"/>
      <c r="Q64" s="588"/>
      <c r="R64" s="61" t="str">
        <f>IF($J57=$A$146,"","DF")</f>
        <v>DF</v>
      </c>
      <c r="S64" s="62"/>
      <c r="U64" s="589" t="s">
        <v>166</v>
      </c>
      <c r="V64" s="589"/>
      <c r="W64" s="589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588" t="str">
        <f>IF($J$17=$A$146,"Margem bruta da empresa de consultoria","Lucro")</f>
        <v>Lucro</v>
      </c>
      <c r="K65" s="588"/>
      <c r="L65" s="588"/>
      <c r="M65" s="588"/>
      <c r="N65" s="588"/>
      <c r="O65" s="588"/>
      <c r="P65" s="588"/>
      <c r="Q65" s="588"/>
      <c r="R65" s="61" t="str">
        <f>IF($J57=$A$146,"K3","L")</f>
        <v>L</v>
      </c>
      <c r="S65" s="62"/>
      <c r="U65" s="589" t="s">
        <v>166</v>
      </c>
      <c r="V65" s="589"/>
      <c r="W65" s="589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588" t="s">
        <v>168</v>
      </c>
      <c r="K66" s="588"/>
      <c r="L66" s="588"/>
      <c r="M66" s="588"/>
      <c r="N66" s="588"/>
      <c r="O66" s="588"/>
      <c r="P66" s="588"/>
      <c r="Q66" s="588"/>
      <c r="R66" s="61" t="s">
        <v>169</v>
      </c>
      <c r="S66" s="62"/>
      <c r="U66" s="589" t="s">
        <v>166</v>
      </c>
      <c r="V66" s="589"/>
      <c r="W66" s="589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588" t="s">
        <v>170</v>
      </c>
      <c r="K67" s="588"/>
      <c r="L67" s="588"/>
      <c r="M67" s="588"/>
      <c r="N67" s="588"/>
      <c r="O67" s="588"/>
      <c r="P67" s="588"/>
      <c r="Q67" s="588"/>
      <c r="R67" s="61" t="s">
        <v>171</v>
      </c>
      <c r="S67" s="63">
        <f ca="1">IF(AND($J57&lt;&gt;$A$145,COUNTA(OFFSET(S60,1,0,6))&gt;0),$R$11*$R$10,0)</f>
        <v>0</v>
      </c>
      <c r="U67" s="589" t="s">
        <v>166</v>
      </c>
      <c r="V67" s="589"/>
      <c r="W67" s="589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588" t="s">
        <v>172</v>
      </c>
      <c r="K68" s="588"/>
      <c r="L68" s="588"/>
      <c r="M68" s="588"/>
      <c r="N68" s="588"/>
      <c r="O68" s="588"/>
      <c r="P68" s="588"/>
      <c r="Q68" s="588"/>
      <c r="R68" s="61" t="s">
        <v>173</v>
      </c>
      <c r="S68" s="63">
        <f ca="1">IF(BDI.Opcao&lt;&gt;"Desonerado",0,IF(AND($J57&lt;&gt;$A$145,COUNTA(OFFSET(S60,1,0,6))&gt;0),4.5%,0%))</f>
        <v>0</v>
      </c>
      <c r="U68" s="589" t="s">
        <v>166</v>
      </c>
      <c r="V68" s="589"/>
      <c r="W68" s="589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588" t="s">
        <v>174</v>
      </c>
      <c r="K69" s="588"/>
      <c r="L69" s="588"/>
      <c r="M69" s="588"/>
      <c r="N69" s="588"/>
      <c r="O69" s="588"/>
      <c r="P69" s="588"/>
      <c r="Q69" s="588"/>
      <c r="R69" s="65" t="s">
        <v>150</v>
      </c>
      <c r="S69" s="63">
        <f ca="1">IF($J57=$A$145,0,ROUND((((1+S61+S62+S63)*(1+S64)*(1+S65)/(1-(S66+S67)))-1),4))</f>
        <v>0</v>
      </c>
      <c r="U69" s="590" t="e">
        <f ca="1">IF(OR($J$17=$A$146,$J$17=$A$145,AND(S69&gt;=X69,S69&lt;=Z69)),"OK","FORA DO INTERVALO")</f>
        <v>#N/A</v>
      </c>
      <c r="V69" s="590"/>
      <c r="W69" s="590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591" t="s">
        <v>175</v>
      </c>
      <c r="K70" s="591"/>
      <c r="L70" s="591"/>
      <c r="M70" s="591"/>
      <c r="N70" s="591"/>
      <c r="O70" s="591"/>
      <c r="P70" s="591"/>
      <c r="Q70" s="591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68" t="e">
        <f ca="1">IF(U69&lt;&gt;"ok","X","")</f>
        <v>#N/A</v>
      </c>
      <c r="K72" s="592" t="e">
        <f ca="1">IF(U69&lt;&gt;"ok","Anexo: Relatório Técnico Circunstanciado justificando a adoção do percentual de cada parcela do BDI.","")</f>
        <v>#N/A</v>
      </c>
      <c r="L72" s="592"/>
      <c r="M72" s="592"/>
      <c r="N72" s="592"/>
      <c r="O72" s="592"/>
      <c r="P72" s="592"/>
      <c r="Q72" s="592"/>
      <c r="R72" s="592"/>
      <c r="S72" s="592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594" t="s">
        <v>178</v>
      </c>
      <c r="K74" s="594"/>
      <c r="L74" s="594"/>
      <c r="M74" s="594"/>
      <c r="N74" s="594"/>
      <c r="O74" s="594"/>
      <c r="P74" s="594"/>
      <c r="Q74" s="594"/>
      <c r="R74" s="594"/>
      <c r="S74" s="594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595" t="s">
        <v>179</v>
      </c>
      <c r="N75" s="596" t="str">
        <f>IF($J57=$A$146,"(1+K1+K2)*(1+K3)","(1+AC + S + R + G)*(1 + DF)*(1+L)")</f>
        <v>(1+AC + S + R + G)*(1 + DF)*(1+L)</v>
      </c>
      <c r="O75" s="596"/>
      <c r="P75" s="596"/>
      <c r="Q75" s="597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595"/>
      <c r="N76" s="587" t="s">
        <v>181</v>
      </c>
      <c r="O76" s="587"/>
      <c r="P76" s="587"/>
      <c r="Q76" s="597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78" s="581"/>
      <c r="L78" s="581"/>
      <c r="M78" s="581"/>
      <c r="N78" s="581"/>
      <c r="O78" s="581"/>
      <c r="P78" s="581"/>
      <c r="Q78" s="581"/>
      <c r="R78" s="581"/>
      <c r="S78" s="581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81"/>
      <c r="L80" s="581"/>
      <c r="M80" s="581"/>
      <c r="N80" s="581"/>
      <c r="O80" s="581"/>
      <c r="P80" s="581"/>
      <c r="Q80" s="581"/>
      <c r="R80" s="581"/>
      <c r="S80" s="581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582"/>
      <c r="K83" s="582"/>
      <c r="L83" s="582"/>
      <c r="M83" s="582"/>
      <c r="N83" s="582"/>
      <c r="O83" s="582"/>
      <c r="P83" s="582"/>
      <c r="Q83" s="582"/>
      <c r="R83" s="582"/>
      <c r="S83" s="582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583" t="str">
        <f>Import.Município</f>
        <v xml:space="preserve">ÁGUAS DE CHAPECÓ </v>
      </c>
      <c r="K85" s="583"/>
      <c r="L85" s="583"/>
      <c r="M85" s="583"/>
      <c r="P85" s="584">
        <f ca="1">DADOS!$F$25</f>
        <v>46310</v>
      </c>
      <c r="Q85" s="584"/>
      <c r="R85" s="584"/>
      <c r="S85" s="584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585" t="s">
        <v>188</v>
      </c>
      <c r="K86" s="585"/>
      <c r="L86" s="585"/>
      <c r="M86" s="585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586"/>
      <c r="K88" s="586"/>
      <c r="L88" s="586"/>
      <c r="M88" s="586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580" t="s">
        <v>190</v>
      </c>
      <c r="K89" s="580"/>
      <c r="L89" s="580"/>
      <c r="M89" s="580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RENATA LORENZET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207.601-3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 t="str">
        <v>10734903-0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602" t="s">
        <v>192</v>
      </c>
      <c r="K94" s="602"/>
      <c r="L94" s="602"/>
      <c r="M94" s="602"/>
      <c r="N94" s="602"/>
      <c r="O94" s="602"/>
      <c r="P94" s="602"/>
      <c r="Q94" s="602"/>
      <c r="R94" s="602"/>
      <c r="S94" s="602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600" t="s">
        <v>157</v>
      </c>
      <c r="K96" s="600"/>
      <c r="L96" s="600"/>
      <c r="M96" s="600"/>
      <c r="N96" s="600"/>
      <c r="O96" s="600"/>
      <c r="P96" s="600"/>
      <c r="Q96" s="600"/>
      <c r="R96" s="600"/>
      <c r="S96" s="600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601" t="s">
        <v>409</v>
      </c>
      <c r="K97" s="601"/>
      <c r="L97" s="601"/>
      <c r="M97" s="601"/>
      <c r="N97" s="601"/>
      <c r="O97" s="601"/>
      <c r="P97" s="601"/>
      <c r="Q97" s="601"/>
      <c r="R97" s="601"/>
      <c r="S97" s="601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599" t="s">
        <v>158</v>
      </c>
      <c r="K99" s="599"/>
      <c r="L99" s="599"/>
      <c r="M99" s="599"/>
      <c r="N99" s="599"/>
      <c r="O99" s="599"/>
      <c r="P99" s="599"/>
      <c r="Q99" s="599"/>
      <c r="R99" s="599" t="s">
        <v>159</v>
      </c>
      <c r="S99" s="590" t="s">
        <v>160</v>
      </c>
      <c r="U99" s="590" t="s">
        <v>161</v>
      </c>
      <c r="V99" s="590"/>
      <c r="W99" s="590"/>
      <c r="X99" s="598" t="s">
        <v>162</v>
      </c>
      <c r="Y99" s="598" t="s">
        <v>163</v>
      </c>
      <c r="Z99" s="598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599"/>
      <c r="K100" s="599"/>
      <c r="L100" s="599"/>
      <c r="M100" s="599"/>
      <c r="N100" s="599"/>
      <c r="O100" s="599"/>
      <c r="P100" s="599"/>
      <c r="Q100" s="599"/>
      <c r="R100" s="599"/>
      <c r="S100" s="590"/>
      <c r="U100" s="590"/>
      <c r="V100" s="590"/>
      <c r="W100" s="590"/>
      <c r="X100" s="598"/>
      <c r="Y100" s="598"/>
      <c r="Z100" s="59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588" t="str">
        <f>IF($J$17=$A$146,"Encargos Sociais incidentes sobre a mão de obra","Administração Central")</f>
        <v>Administração Central</v>
      </c>
      <c r="K101" s="588"/>
      <c r="L101" s="588"/>
      <c r="M101" s="588"/>
      <c r="N101" s="588"/>
      <c r="O101" s="588"/>
      <c r="P101" s="588"/>
      <c r="Q101" s="588"/>
      <c r="R101" s="61" t="str">
        <f>IF($J97=$A$146,"K1","AC")</f>
        <v>AC</v>
      </c>
      <c r="S101" s="62"/>
      <c r="U101" s="589" t="s">
        <v>166</v>
      </c>
      <c r="V101" s="589"/>
      <c r="W101" s="589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588" t="str">
        <f>IF($J$17=$A$146,"Administração Central da empresa ou consultoria - overhead","Seguro e Garantia")</f>
        <v>Seguro e Garantia</v>
      </c>
      <c r="K102" s="588"/>
      <c r="L102" s="588"/>
      <c r="M102" s="588"/>
      <c r="N102" s="588"/>
      <c r="O102" s="588"/>
      <c r="P102" s="588"/>
      <c r="Q102" s="588"/>
      <c r="R102" s="61" t="str">
        <f>IF($J97=$A$146,"K2","SG")</f>
        <v>SG</v>
      </c>
      <c r="S102" s="62"/>
      <c r="U102" s="589" t="s">
        <v>166</v>
      </c>
      <c r="V102" s="589"/>
      <c r="W102" s="589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588" t="str">
        <f>IF($J$17=$A$146,"","Risco")</f>
        <v>Risco</v>
      </c>
      <c r="K103" s="588"/>
      <c r="L103" s="588"/>
      <c r="M103" s="588"/>
      <c r="N103" s="588"/>
      <c r="O103" s="588"/>
      <c r="P103" s="588"/>
      <c r="Q103" s="588"/>
      <c r="R103" s="61" t="str">
        <f>IF($J97=$A$146,"","R")</f>
        <v>R</v>
      </c>
      <c r="S103" s="62"/>
      <c r="U103" s="589" t="s">
        <v>166</v>
      </c>
      <c r="V103" s="589"/>
      <c r="W103" s="589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588" t="str">
        <f>IF($J$17=$A$146,"","Despesas Financeiras")</f>
        <v>Despesas Financeiras</v>
      </c>
      <c r="K104" s="588"/>
      <c r="L104" s="588"/>
      <c r="M104" s="588"/>
      <c r="N104" s="588"/>
      <c r="O104" s="588"/>
      <c r="P104" s="588"/>
      <c r="Q104" s="588"/>
      <c r="R104" s="61" t="str">
        <f>IF($J97=$A$146,"","DF")</f>
        <v>DF</v>
      </c>
      <c r="S104" s="62"/>
      <c r="U104" s="589" t="s">
        <v>166</v>
      </c>
      <c r="V104" s="589"/>
      <c r="W104" s="589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588" t="str">
        <f>IF($J$17=$A$146,"Margem bruta da empresa de consultoria","Lucro")</f>
        <v>Lucro</v>
      </c>
      <c r="K105" s="588"/>
      <c r="L105" s="588"/>
      <c r="M105" s="588"/>
      <c r="N105" s="588"/>
      <c r="O105" s="588"/>
      <c r="P105" s="588"/>
      <c r="Q105" s="588"/>
      <c r="R105" s="61" t="str">
        <f>IF($J97=$A$146,"K3","L")</f>
        <v>L</v>
      </c>
      <c r="S105" s="62"/>
      <c r="U105" s="589" t="s">
        <v>166</v>
      </c>
      <c r="V105" s="589"/>
      <c r="W105" s="589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588" t="s">
        <v>168</v>
      </c>
      <c r="K106" s="588"/>
      <c r="L106" s="588"/>
      <c r="M106" s="588"/>
      <c r="N106" s="588"/>
      <c r="O106" s="588"/>
      <c r="P106" s="588"/>
      <c r="Q106" s="588"/>
      <c r="R106" s="61" t="s">
        <v>169</v>
      </c>
      <c r="S106" s="62"/>
      <c r="U106" s="589" t="s">
        <v>166</v>
      </c>
      <c r="V106" s="589"/>
      <c r="W106" s="589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588" t="s">
        <v>170</v>
      </c>
      <c r="K107" s="588"/>
      <c r="L107" s="588"/>
      <c r="M107" s="588"/>
      <c r="N107" s="588"/>
      <c r="O107" s="588"/>
      <c r="P107" s="588"/>
      <c r="Q107" s="588"/>
      <c r="R107" s="61" t="s">
        <v>171</v>
      </c>
      <c r="S107" s="63">
        <f ca="1">IF(AND($J97&lt;&gt;$A$145,COUNTA(OFFSET(S100,1,0,6))&gt;0),$R$11*$R$10,0)</f>
        <v>0</v>
      </c>
      <c r="U107" s="589" t="s">
        <v>166</v>
      </c>
      <c r="V107" s="589"/>
      <c r="W107" s="589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588" t="s">
        <v>172</v>
      </c>
      <c r="K108" s="588"/>
      <c r="L108" s="588"/>
      <c r="M108" s="588"/>
      <c r="N108" s="588"/>
      <c r="O108" s="588"/>
      <c r="P108" s="588"/>
      <c r="Q108" s="588"/>
      <c r="R108" s="61" t="s">
        <v>173</v>
      </c>
      <c r="S108" s="63">
        <f ca="1">IF(BDI.Opcao&lt;&gt;"Desonerado",0,IF(AND($J97&lt;&gt;$A$145,COUNTA(OFFSET(S100,1,0,6))&gt;0),4.5%,0%))</f>
        <v>0</v>
      </c>
      <c r="U108" s="589" t="s">
        <v>166</v>
      </c>
      <c r="V108" s="589"/>
      <c r="W108" s="589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588" t="s">
        <v>174</v>
      </c>
      <c r="K109" s="588"/>
      <c r="L109" s="588"/>
      <c r="M109" s="588"/>
      <c r="N109" s="588"/>
      <c r="O109" s="588"/>
      <c r="P109" s="588"/>
      <c r="Q109" s="588"/>
      <c r="R109" s="65" t="s">
        <v>150</v>
      </c>
      <c r="S109" s="63">
        <f ca="1">IF($J97=$A$145,0,ROUND((((1+S101+S102+S103)*(1+S104)*(1+S105)/(1-(S106+S107)))-1),4))</f>
        <v>0</v>
      </c>
      <c r="U109" s="590" t="e">
        <f ca="1">IF(OR($J$17=$A$146,$J$17=$A$145,AND(S109&gt;=X109,S109&lt;=Z109)),"OK","FORA DO INTERVALO")</f>
        <v>#N/A</v>
      </c>
      <c r="V109" s="590"/>
      <c r="W109" s="590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591" t="s">
        <v>175</v>
      </c>
      <c r="K110" s="591"/>
      <c r="L110" s="591"/>
      <c r="M110" s="591"/>
      <c r="N110" s="591"/>
      <c r="O110" s="591"/>
      <c r="P110" s="591"/>
      <c r="Q110" s="591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592" t="e">
        <f ca="1">IF(U109&lt;&gt;"ok","Anexo: Relatório Técnico Circunstanciado justificando a adoção do percentual de cada parcela do BDI.","")</f>
        <v>#N/A</v>
      </c>
      <c r="L112" s="592"/>
      <c r="M112" s="592"/>
      <c r="N112" s="592"/>
      <c r="O112" s="592"/>
      <c r="P112" s="592"/>
      <c r="Q112" s="592"/>
      <c r="R112" s="592"/>
      <c r="S112" s="592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594" t="s">
        <v>178</v>
      </c>
      <c r="K114" s="594"/>
      <c r="L114" s="594"/>
      <c r="M114" s="594"/>
      <c r="N114" s="594"/>
      <c r="O114" s="594"/>
      <c r="P114" s="594"/>
      <c r="Q114" s="594"/>
      <c r="R114" s="594"/>
      <c r="S114" s="594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595" t="s">
        <v>179</v>
      </c>
      <c r="N115" s="596" t="str">
        <f>IF($J97=$A$146,"(1+K1+K2)*(1+K3)","(1+AC + S + R + G)*(1 + DF)*(1+L)")</f>
        <v>(1+AC + S + R + G)*(1 + DF)*(1+L)</v>
      </c>
      <c r="O115" s="596"/>
      <c r="P115" s="596"/>
      <c r="Q115" s="597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595"/>
      <c r="N116" s="587" t="s">
        <v>181</v>
      </c>
      <c r="O116" s="587"/>
      <c r="P116" s="587"/>
      <c r="Q116" s="597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118" s="581"/>
      <c r="L118" s="581"/>
      <c r="M118" s="581"/>
      <c r="N118" s="581"/>
      <c r="O118" s="581"/>
      <c r="P118" s="581"/>
      <c r="Q118" s="581"/>
      <c r="R118" s="581"/>
      <c r="S118" s="581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81"/>
      <c r="L120" s="581"/>
      <c r="M120" s="581"/>
      <c r="N120" s="581"/>
      <c r="O120" s="581"/>
      <c r="P120" s="581"/>
      <c r="Q120" s="581"/>
      <c r="R120" s="581"/>
      <c r="S120" s="581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582"/>
      <c r="K123" s="582"/>
      <c r="L123" s="582"/>
      <c r="M123" s="582"/>
      <c r="N123" s="582"/>
      <c r="O123" s="582"/>
      <c r="P123" s="582"/>
      <c r="Q123" s="582"/>
      <c r="R123" s="582"/>
      <c r="S123" s="582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583" t="str">
        <f>Import.Município</f>
        <v xml:space="preserve">ÁGUAS DE CHAPECÓ </v>
      </c>
      <c r="K125" s="583"/>
      <c r="L125" s="583"/>
      <c r="M125" s="583"/>
      <c r="P125" s="584">
        <f ca="1">DADOS!$F$25</f>
        <v>46310</v>
      </c>
      <c r="Q125" s="584"/>
      <c r="R125" s="584"/>
      <c r="S125" s="584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585" t="s">
        <v>188</v>
      </c>
      <c r="K126" s="585"/>
      <c r="L126" s="585"/>
      <c r="M126" s="585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586"/>
      <c r="K128" s="586"/>
      <c r="L128" s="586"/>
      <c r="M128" s="586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580" t="s">
        <v>190</v>
      </c>
      <c r="K129" s="580"/>
      <c r="L129" s="580"/>
      <c r="M129" s="580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RENATA LORENZET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207.601-3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 t="str">
        <v>10734903-0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409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</mergeCells>
  <phoneticPr fontId="38" type="noConversion"/>
  <conditionalFormatting sqref="J30:S30 J70:S70 J110:S110">
    <cfRule type="expression" dxfId="389" priority="2" stopIfTrue="1">
      <formula>DESONERACAO="não"</formula>
    </cfRule>
  </conditionalFormatting>
  <conditionalFormatting sqref="U29:W29 U69:W69 U109:W109">
    <cfRule type="expression" dxfId="388" priority="3" stopIfTrue="1">
      <formula>AND(U29&lt;&gt;"OK",U29&lt;&gt;"-",U29&lt;&gt;"")</formula>
    </cfRule>
    <cfRule type="cellIs" dxfId="387" priority="4" stopIfTrue="1" operator="equal">
      <formula>"OK"</formula>
    </cfRule>
  </conditionalFormatting>
  <conditionalFormatting sqref="S29 S69 S109">
    <cfRule type="expression" dxfId="386" priority="5" stopIfTrue="1">
      <formula>DESONERACAO="não"</formula>
    </cfRule>
  </conditionalFormatting>
  <dataValidations disablePrompts="1"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>
    <pageSetUpPr fitToPage="1"/>
  </sheetPr>
  <dimension ref="A1:AN182"/>
  <sheetViews>
    <sheetView showGridLines="0" tabSelected="1" zoomScaleNormal="100" zoomScaleSheetLayoutView="90" workbookViewId="0">
      <pane xSplit="19" ySplit="15" topLeftCell="V16" activePane="bottomRight" state="frozen"/>
      <selection activeCell="L1" sqref="L1"/>
      <selection pane="topRight" activeCell="T1" sqref="T1"/>
      <selection pane="bottomLeft" activeCell="L16" sqref="L16"/>
      <selection pane="bottomRight" activeCell="R18" sqref="R18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(SELECIONAR)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600" t="s">
        <v>146</v>
      </c>
      <c r="P4" s="600"/>
      <c r="Q4" s="89" t="s">
        <v>443</v>
      </c>
      <c r="R4" s="89" t="s">
        <v>147</v>
      </c>
      <c r="S4" s="600" t="s">
        <v>202</v>
      </c>
      <c r="T4" s="600"/>
      <c r="U4" s="600"/>
      <c r="V4" s="600"/>
      <c r="W4" s="600"/>
      <c r="X4" s="600"/>
      <c r="Y4" s="78"/>
      <c r="Z4" s="78"/>
      <c r="AA4" s="78"/>
      <c r="AB4" s="78"/>
    </row>
    <row r="5" spans="1:40" ht="12.75" customHeight="1" x14ac:dyDescent="0.2">
      <c r="A5" s="7">
        <f ca="1">MAX($C$15:$C$165)</f>
        <v>2</v>
      </c>
      <c r="B5" s="7"/>
      <c r="C5" s="7"/>
      <c r="F5" s="88">
        <f ca="1">IF(BDI.Opcao="DESONERADO",BDI!$S$30,BDI!$S$29)</f>
        <v>0.20349999999999999</v>
      </c>
      <c r="G5" s="88">
        <f ca="1">IF(BDI.Opcao="DESONERADO",BDI!$S$70,BDI!$S$69)</f>
        <v>0</v>
      </c>
      <c r="H5" s="88">
        <f ca="1">IF(BDI.Opcao="DESONERADO",BDI!$S$110,BDI!$S$109)</f>
        <v>0</v>
      </c>
      <c r="O5" s="603">
        <f>Import.CR</f>
        <v>0</v>
      </c>
      <c r="P5" s="603"/>
      <c r="Q5" s="92" cm="1">
        <f t="array" ref="Q5">Import.TransfereGOV</f>
        <v>0</v>
      </c>
      <c r="R5" s="93" t="str">
        <f>Import.Proponente</f>
        <v>PREFEITURA MUNICIPAL DE ÁGUAS DE CHAPECÓ</v>
      </c>
      <c r="S5" s="603" t="str">
        <f>Import.Apelido</f>
        <v>SEDE ESPORTIVA, ILUMINAÇÃO E ALAMBRADO DO CAMPO</v>
      </c>
      <c r="T5" s="603"/>
      <c r="U5" s="603"/>
      <c r="V5" s="603"/>
      <c r="W5" s="603"/>
      <c r="X5" s="603"/>
      <c r="Y5" s="94"/>
      <c r="Z5" s="94"/>
      <c r="AA5" s="94"/>
      <c r="AB5" s="94"/>
      <c r="AE5" s="610" t="s">
        <v>200</v>
      </c>
      <c r="AF5" s="610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600" t="s">
        <v>204</v>
      </c>
      <c r="P7" s="600"/>
      <c r="Q7" s="89" t="s">
        <v>205</v>
      </c>
      <c r="R7" s="89" t="str">
        <f>IF(TIPOORCAMENTO="Licitado","NOME DA EMPRESA","DESCRIÇÃO DO LOTE")</f>
        <v>DESCRIÇÃO DO LOTE</v>
      </c>
      <c r="S7" s="611" t="str">
        <f>IF(TIPOORCAMENTO="Licitado","REGIME DE EXECUÇÃO","MUNICÍPIO / UF")</f>
        <v>MUNICÍPIO / UF</v>
      </c>
      <c r="T7" s="611"/>
      <c r="U7" s="611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14" t="s">
        <v>207</v>
      </c>
      <c r="AL7" s="612" t="s">
        <v>208</v>
      </c>
    </row>
    <row r="8" spans="1:40" ht="12.75" customHeight="1" x14ac:dyDescent="0.2">
      <c r="A8" s="7"/>
      <c r="B8" s="7"/>
      <c r="C8" s="7"/>
      <c r="F8" s="615" t="str">
        <f ca="1">IF(LEN(INFO("release"))&gt;5,"'Referência "&amp;Excel_BuiltIn_Database&amp;".xlsm'#Banco.$a5:$a$65536","'[Referência "&amp;Excel_BuiltIn_Database&amp;".xlsm]Banco'!$a5:$a$65536")</f>
        <v>'[Referência 08-2026.xlsm]Banco'!$a5:$a$65536</v>
      </c>
      <c r="G8" s="615"/>
      <c r="H8" s="615"/>
      <c r="I8" s="615"/>
      <c r="J8" s="615"/>
      <c r="K8" s="615"/>
      <c r="L8" s="593" t="s">
        <v>209</v>
      </c>
      <c r="O8" s="603" t="str">
        <f ca="1">IF(ISERROR(INDIRECT($F$9)),"(N/D: 'Referência "&amp;Excel_BuiltIn_Database&amp;".xlsm)",INDIRECT($F$9))</f>
        <v>FLORIANOPOLIS</v>
      </c>
      <c r="P8" s="603"/>
      <c r="Q8" s="101" t="str">
        <f ca="1">TEXT(Import.DataBase,"mm-aa")&amp;IF(DESONERACAO="Sim"," (DES.)"," (N DES.)")</f>
        <v>08-26 (N DES.)</v>
      </c>
      <c r="R8" s="93" t="str">
        <f>IF(TIPOORCAMENTO="Licitado",Import.empresa,Import.DescLote)</f>
        <v xml:space="preserve">SEDE ESPORTIVA </v>
      </c>
      <c r="S8" s="616" t="str">
        <f>IF(TIPOORCAMENTO="Licitado",Import.RegimeExecução,Import.Município)</f>
        <v xml:space="preserve">ÁGUAS DE CHAPECÓ </v>
      </c>
      <c r="T8" s="616"/>
      <c r="U8" s="616"/>
      <c r="V8" s="102" t="str">
        <f ca="1">IF(TIPOORCAMENTO="Licitado","",TEXT(F5,"0,00%"))</f>
        <v>20,35%</v>
      </c>
      <c r="W8" s="102" t="str">
        <f ca="1">IF(TIPOORCAMENTO="Licitado","",TEXT(G5,"0,00%"))</f>
        <v>0,00%</v>
      </c>
      <c r="X8" s="103" t="str">
        <f ca="1">IF(TIPOORCAMENTO="Licitado",Import.CTEF,TEXT(H5,"0,00%"))</f>
        <v>0,00%</v>
      </c>
      <c r="Y8" s="593" t="s">
        <v>210</v>
      </c>
      <c r="Z8" s="593" t="s">
        <v>211</v>
      </c>
      <c r="AA8" s="104"/>
      <c r="AB8" s="104"/>
      <c r="AE8" s="90" t="s">
        <v>206</v>
      </c>
      <c r="AF8" s="91" t="b">
        <v>1</v>
      </c>
      <c r="AJ8" s="614"/>
      <c r="AL8" s="612"/>
    </row>
    <row r="9" spans="1:40" ht="12.75" customHeight="1" x14ac:dyDescent="0.2">
      <c r="F9" s="615" t="str">
        <f ca="1">IF(LEN(INFO("release"))&gt;5,"'Referência "&amp;Excel_BuiltIn_Database&amp;".xlsm'#Banco.$d$3","'[Referência "&amp;Excel_BuiltIn_Database&amp;".xlsm]Banco'!$d$3")</f>
        <v>'[Referência 08-2026.xlsm]Banco'!$d$3</v>
      </c>
      <c r="G9" s="615"/>
      <c r="H9" s="615"/>
      <c r="I9" s="615"/>
      <c r="J9" s="615"/>
      <c r="K9" s="615"/>
      <c r="L9" s="593"/>
      <c r="Y9" s="593"/>
      <c r="Z9" s="593"/>
      <c r="AE9" s="90" t="s">
        <v>212</v>
      </c>
      <c r="AF9" s="91" t="b">
        <v>1</v>
      </c>
      <c r="AJ9" s="614"/>
      <c r="AL9" s="612"/>
    </row>
    <row r="10" spans="1:40" x14ac:dyDescent="0.2">
      <c r="G10" s="86"/>
      <c r="H10" s="86"/>
      <c r="L10" s="593"/>
      <c r="Y10" s="593"/>
      <c r="Z10" s="593"/>
      <c r="AC10" s="105" t="s">
        <v>214</v>
      </c>
      <c r="AE10" s="90" t="s">
        <v>213</v>
      </c>
      <c r="AF10" s="91" t="b">
        <v>1</v>
      </c>
      <c r="AJ10" s="614"/>
      <c r="AL10" s="612"/>
    </row>
    <row r="11" spans="1:40" x14ac:dyDescent="0.2">
      <c r="G11" s="86"/>
      <c r="H11" s="106"/>
      <c r="L11" s="593"/>
      <c r="Y11" s="593"/>
      <c r="Z11" s="593"/>
      <c r="AC11" s="107" t="str">
        <f ca="1">IF(COUNTIF($AC$15:OFFSET($AC$165,-1,0),"DESCRIÇÃO")+COUNTIF($AC$15:OFFSET($AC$165,-1,0),"UNIDADE")+COUNTIF($AC$15:OFFSET($AC$165,-1,0),"SEM VALOR")&gt;0,"NÃO OK","OK")</f>
        <v>OK</v>
      </c>
      <c r="AE11" s="90" t="s">
        <v>215</v>
      </c>
      <c r="AF11" s="91" t="b">
        <v>1</v>
      </c>
      <c r="AJ11" s="614"/>
      <c r="AL11" s="612"/>
    </row>
    <row r="12" spans="1:40" x14ac:dyDescent="0.2">
      <c r="G12" s="86"/>
      <c r="H12" s="86"/>
      <c r="L12" s="593"/>
      <c r="Y12" s="593"/>
      <c r="Z12" s="593"/>
      <c r="AA12" s="613" t="s">
        <v>216</v>
      </c>
      <c r="AB12" s="613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418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414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IF(OR($C14="S",$C14=0),0,MATCH(0,OFFSET($D14,1,$C14,ROW($C$165)-ROW($C14)),0))</f>
        <v>0</v>
      </c>
      <c r="K14">
        <f ca="1">IF(OR($C14="S",$C14=0),0,MATCH(OFFSET($D14,0,$C14)+IF($C14&lt;&gt;1,1,COUNTIF(QCI!$A$13:$A$24,ORÇAMENTO!E14)),OFFSET($D14,1,$C14,ROW($C$165)-ROW($C14)),0))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(Sem Código)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(Sem Código)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0.20349999999999999</v>
      </c>
      <c r="AJ14" s="501"/>
      <c r="AL14" s="527"/>
      <c r="AM14" s="381">
        <f t="shared" ref="AM14:AM116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COUNTA(OFFSET(D15,1,0):D$165)</f>
        <v>149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18" t="str">
        <f>Import.DescLote</f>
        <v xml:space="preserve">SEDE ESPORTIVA </v>
      </c>
      <c r="P15" s="618"/>
      <c r="Q15" s="618"/>
      <c r="R15" s="618"/>
      <c r="S15" s="133"/>
      <c r="T15" s="134"/>
      <c r="U15" s="134"/>
      <c r="V15" s="135"/>
      <c r="W15" s="134"/>
      <c r="X15" s="136">
        <f ca="1">SUMIF(OFFSET($C15,1,0,ROW(X165)-ROW(X15)-1),"S",OFFSET(X15,1,0,ROW(X165)-ROW(X15)-1))</f>
        <v>399069.38999999978</v>
      </c>
      <c r="Y15" s="7"/>
      <c r="Z15" t="str">
        <f ca="1">IF(AND($C15="S",$X15&gt;0),LEFT($Y15,2),"")</f>
        <v/>
      </c>
      <c r="AA15" s="496">
        <f ca="1">SUMIF(OFFSET($C15,1,0,ROW(AA165)-ROW(AA15)-1),"S",OFFSET(AA15,1,0,ROW(AA165)-ROW(AA15)-1))</f>
        <v>399069.38999999978</v>
      </c>
      <c r="AB15" s="137">
        <f ca="1">SUMIF(OFFSET($C15,1,0,ROW(AB165)-ROW(AB15)-1),"S",OFFSET(AB15,1,0,ROW(AB165)-ROW(AB15)-1))</f>
        <v>0</v>
      </c>
      <c r="AC15" s="131"/>
      <c r="AG15" s="529"/>
      <c r="AH15" s="530"/>
      <c r="AJ15" s="500"/>
      <c r="AL15" s="528"/>
      <c r="AM15" s="567">
        <f t="shared" ca="1" si="0"/>
        <v>399069.38999999978</v>
      </c>
      <c r="AN15" s="568"/>
    </row>
    <row r="16" spans="1:40" x14ac:dyDescent="0.2">
      <c r="A16">
        <f t="shared" ref="A16:A114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114" ca="1" si="2">IF(OR(C16="s",C16=0),OFFSET(B16,-1,0),C16)</f>
        <v>1</v>
      </c>
      <c r="C16">
        <f t="shared" ref="C16:C114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114" ca="1" si="4">IF(OR(C16="S",C16=0),0,IF(ISERROR(K16),J16,SMALL(J16:K16,1)))</f>
        <v>11</v>
      </c>
      <c r="E16">
        <f ca="1">IF($C16=1,OFFSET(E16,-1,0)+MAX(1,COUNTIF(QCI!$A$13:$A$24,OFFSET(ORÇAMENTO!E16,-1,0))),OFFSET(E16,-1,0))</f>
        <v>1</v>
      </c>
      <c r="F16">
        <f t="shared" ref="F16:F114" ca="1" si="5">IF($C16=1,0,IF($C16=2,OFFSET(F16,-1,0)+1,OFFSET(F16,-1,0)))</f>
        <v>0</v>
      </c>
      <c r="G16">
        <f t="shared" ref="G16:G114" ca="1" si="6">IF(AND($C16&lt;=2,$C16&lt;&gt;0),0,IF($C16=3,OFFSET(G16,-1,0)+1,OFFSET(G16,-1,0)))</f>
        <v>0</v>
      </c>
      <c r="H16">
        <f t="shared" ref="H16:H114" ca="1" si="7">IF(AND($C16&lt;=3,$C16&lt;&gt;0),0,IF($C16=4,OFFSET(H16,-1,0)+1,OFFSET(H16,-1,0)))</f>
        <v>0</v>
      </c>
      <c r="I16">
        <f t="shared" ref="I16:I114" ca="1" si="8">IF(AND($C16&lt;=4,$C16&lt;&gt;0),0,IF(AND($C16="S",$X16&gt;0),OFFSET(I16,-1,0)+1,OFFSET(I16,-1,0)))</f>
        <v>0</v>
      </c>
      <c r="J16">
        <f ca="1">IF(OR($C16="S",$C16=0),0,MATCH(0,OFFSET($D16,1,$C16,ROW($C$165)-ROW($C16)),0))</f>
        <v>149</v>
      </c>
      <c r="K16">
        <f ca="1">IF(OR($C16="S",$C16=0),0,MATCH(OFFSET($D16,0,$C16)+IF($C16&lt;&gt;1,1,COUNTIF(QCI!$A$13:$A$24,ORÇAMENTO!E16)),OFFSET($D16,1,$C16,ROW($C$165)-ROW($C16)),0))</f>
        <v>11</v>
      </c>
      <c r="L16" s="116" t="str">
        <f t="shared" ref="L16:L114" ca="1" si="9">IF(OR($X16&gt;0,$C16=1,$C16=2,$C16=3,$C16=4),"F","")</f>
        <v>F</v>
      </c>
      <c r="M16" s="117" t="s">
        <v>195</v>
      </c>
      <c r="N16" s="118" t="str">
        <f t="shared" ref="N16:N114" ca="1" si="10">CHOOSE(1+LOG(1+2*(C16=1)+4*(C16=2)+8*(C16=3)+16*(C16=4)+32*(C16="S"),2),"","Meta","Nível 2","Nível 3","Nível 4","Serviço")</f>
        <v>Meta</v>
      </c>
      <c r="O16" s="119" t="str">
        <f t="shared" ref="O16:O114" ca="1" si="11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469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13584.25</v>
      </c>
      <c r="Y16" s="128" t="s">
        <v>245</v>
      </c>
      <c r="Z16" t="str">
        <f t="shared" ref="Z16:Z114" ca="1" si="12">IF(AND($C16="S",$X16&gt;0),IF(ISBLANK($Y16),"RA",LEFT($Y16,2)),"")</f>
        <v/>
      </c>
      <c r="AA16" s="129">
        <f ca="1">IF($C16="S",IF($Z16="CP",$X16,IF($Z16="RA",(($X16)*QCI!$AA$3),0)),SomaAgrup)</f>
        <v>13584.25</v>
      </c>
      <c r="AB16" s="130">
        <f t="shared" ref="AB16:AB114" ca="1" si="13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(Sem Código)</v>
      </c>
      <c r="AG16" s="498">
        <f ca="1">ROUND(IF(DESONERACAO="sim",REFERENCIA.Desonerado,REFERENCIA.NaoDesonerado),2)</f>
        <v>0</v>
      </c>
      <c r="AH16" s="499">
        <f t="shared" ref="AH16:AH114" ca="1" si="14">ROUND(IF(ISNUMBER(ORÇAMENTO.OpcaoBDI),ORÇAMENTO.OpcaoBDI,IF(LEFT(ORÇAMENTO.OpcaoBDI,3)="BDI",HLOOKUP(ORÇAMENTO.OpcaoBDI,$F$4:$H$5,2,FALSE),0)),15-11*$AF$9)</f>
        <v>0.20349999999999999</v>
      </c>
      <c r="AJ16" s="501"/>
      <c r="AL16" s="527"/>
      <c r="AM16" s="381">
        <f t="shared" ca="1" si="0"/>
        <v>13584.25</v>
      </c>
      <c r="AN16" s="566">
        <f t="shared" ref="AN16:AN114" ca="1" si="15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6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ca="1">IF(OR($C17="S",$C17=0),0,MATCH(0,OFFSET($D17,1,$C17,ROW($C$165)-ROW($C17)),0))</f>
        <v>10</v>
      </c>
      <c r="K17">
        <f ca="1">IF(OR($C17="S",$C17=0),0,MATCH(OFFSET($D17,0,$C17)+IF($C17&lt;&gt;1,1,COUNTIF(QCI!$A$13:$A$24,ORÇAMENTO!E17)),OFFSET($D17,1,$C17,ROW($C$165)-ROW($C17)),0))</f>
        <v>6</v>
      </c>
      <c r="L17" s="116" t="str">
        <f t="shared" ca="1" si="9"/>
        <v>F</v>
      </c>
      <c r="M17" s="117" t="s">
        <v>196</v>
      </c>
      <c r="N17" s="118" t="str">
        <f t="shared" ca="1" si="10"/>
        <v>Nível 2</v>
      </c>
      <c r="O17" s="119" t="str">
        <f t="shared" ca="1" si="11"/>
        <v>1.1.</v>
      </c>
      <c r="P17" s="120" t="s">
        <v>247</v>
      </c>
      <c r="Q17" s="121"/>
      <c r="R17" s="122" t="s">
        <v>584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7764.48</v>
      </c>
      <c r="Y17" s="128" t="s">
        <v>245</v>
      </c>
      <c r="Z17" t="str">
        <f t="shared" ca="1" si="12"/>
        <v/>
      </c>
      <c r="AA17" s="129">
        <f ca="1">IF($C17="S",IF($Z17="CP",$X17,IF($Z17="RA",(($X17)*QCI!$AA$3),0)),SomaAgrup)</f>
        <v>7764.4800000000005</v>
      </c>
      <c r="AB17" s="130">
        <f t="shared" ca="1" si="13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(Sem Código)</v>
      </c>
      <c r="AG17" s="498">
        <f ca="1">ROUND(IF(DESONERACAO="sim",REFERENCIA.Desonerado,REFERENCIA.NaoDesonerado),2)</f>
        <v>0</v>
      </c>
      <c r="AH17" s="499">
        <f t="shared" ca="1" si="14"/>
        <v>0.20349999999999999</v>
      </c>
      <c r="AJ17" s="501"/>
      <c r="AL17" s="527"/>
      <c r="AM17" s="381">
        <f t="shared" ca="1" si="0"/>
        <v>7764.48</v>
      </c>
      <c r="AN17" s="566">
        <f t="shared" ca="1" si="15"/>
        <v>0</v>
      </c>
    </row>
    <row r="18" spans="1:40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ca="1">IF(OR($C18="S",$C18=0),0,MATCH(0,OFFSET($D18,1,$C18,ROW($C$165)-ROW($C18)),0))</f>
        <v>0</v>
      </c>
      <c r="K18">
        <f ca="1">IF(OR($C18="S",$C18=0),0,MATCH(OFFSET($D18,0,$C18)+IF($C18&lt;&gt;1,1,COUNTIF(QCI!$A$13:$A$24,ORÇAMENTO!E18)),OFFSET($D18,1,$C18,ROW($C$165)-ROW($C18)),0))</f>
        <v>0</v>
      </c>
      <c r="L18" s="116" t="str">
        <f t="shared" ca="1" si="9"/>
        <v>F</v>
      </c>
      <c r="M18" s="117" t="s">
        <v>199</v>
      </c>
      <c r="N18" s="118" t="str">
        <f t="shared" ca="1" si="10"/>
        <v>Serviço</v>
      </c>
      <c r="O18" s="119" t="str">
        <f t="shared" ca="1" si="11"/>
        <v>1.1.1.</v>
      </c>
      <c r="P18" s="120" t="s">
        <v>582</v>
      </c>
      <c r="Q18" s="121" t="s">
        <v>492</v>
      </c>
      <c r="R18" s="122" t="str">
        <f ca="1">IF($C18="S",REFERENCIA.Descricao,"(digite a descrição aqui)")</f>
        <v xml:space="preserve">PROJETO ESTRTUTURAL </v>
      </c>
      <c r="S18" s="123" t="str">
        <f ca="1">REFERENCIA.Unidade</f>
        <v xml:space="preserve">M2 </v>
      </c>
      <c r="T18" s="124">
        <f ca="1">OFFSET(CÁLCULO!H$15,ROW($T18)-ROW(T$15),0)</f>
        <v>195.33</v>
      </c>
      <c r="U18" s="125">
        <f t="shared" ref="U18:U24" ca="1" si="16">AG18</f>
        <v>13.44</v>
      </c>
      <c r="V18" s="126">
        <v>0</v>
      </c>
      <c r="W18" s="124">
        <f ca="1">IF($C18="S",ROUND(IF(TIPOORCAMENTO="Proposto",ORÇAMENTO.CustoUnitario*(1+$AH18),ORÇAMENTO.PrecoUnitarioLicitado),15-13*$AF$10),0)</f>
        <v>13.44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2625.24</v>
      </c>
      <c r="Y18" s="128" t="s">
        <v>245</v>
      </c>
      <c r="Z18" t="str">
        <f t="shared" ca="1" si="12"/>
        <v>RA</v>
      </c>
      <c r="AA18" s="129">
        <f ca="1">IF($C18="S",IF($Z18="CP",$X18,IF($Z18="RA",(($X18)*QCI!$AA$3),0)),SomaAgrup)</f>
        <v>2625.24</v>
      </c>
      <c r="AB18" s="130">
        <f t="shared" ca="1" si="13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Cotação 01</v>
      </c>
      <c r="AF18" s="13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15</v>
      </c>
      <c r="AG18" s="498">
        <f ca="1">ROUND(IF(DESONERACAO="sim",REFERENCIA.Desonerado,REFERENCIA.NaoDesonerado),2)</f>
        <v>13.44</v>
      </c>
      <c r="AH18" s="499">
        <f t="shared" si="14"/>
        <v>0</v>
      </c>
      <c r="AJ18" s="501">
        <v>195.33</v>
      </c>
      <c r="AL18" s="527"/>
      <c r="AM18" s="381">
        <f t="shared" ca="1" si="0"/>
        <v>2625.24</v>
      </c>
      <c r="AN18" s="566">
        <f t="shared" ca="1" si="15"/>
        <v>13.44</v>
      </c>
    </row>
    <row r="19" spans="1:40" x14ac:dyDescent="0.2">
      <c r="A19" t="str">
        <f t="shared" si="1"/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IF($C19=1,OFFSET(E19,-1,0)+MAX(1,COUNTIF(QCI!$A$13:$A$24,OFFSET(ORÇAMENTO!E19,-1,0))),OFFSET(E19,-1,0))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2</v>
      </c>
      <c r="J19">
        <f ca="1">IF(OR($C19="S",$C19=0),0,MATCH(0,OFFSET($D19,1,$C19,ROW($C$165)-ROW($C19)),0))</f>
        <v>0</v>
      </c>
      <c r="K19">
        <f ca="1">IF(OR($C19="S",$C19=0),0,MATCH(OFFSET($D19,0,$C19)+IF($C19&lt;&gt;1,1,COUNTIF(QCI!$A$13:$A$24,ORÇAMENTO!E19)),OFFSET($D19,1,$C19,ROW($C$165)-ROW($C19)),0))</f>
        <v>0</v>
      </c>
      <c r="L19" s="116" t="str">
        <f t="shared" ca="1" si="9"/>
        <v>F</v>
      </c>
      <c r="M19" s="117" t="s">
        <v>199</v>
      </c>
      <c r="N19" s="118" t="str">
        <f t="shared" ca="1" si="10"/>
        <v>Serviço</v>
      </c>
      <c r="O19" s="119" t="str">
        <f t="shared" ca="1" si="11"/>
        <v>1.1.2.</v>
      </c>
      <c r="P19" s="120" t="s">
        <v>582</v>
      </c>
      <c r="Q19" s="121" t="s">
        <v>493</v>
      </c>
      <c r="R19" s="122" t="str">
        <f ca="1">IF($C19="S",REFERENCIA.Descricao,"(digite a descrição aqui)")</f>
        <v xml:space="preserve">PROJETO HIDROSSANITÁRIO </v>
      </c>
      <c r="S19" s="123" t="str">
        <f ca="1">REFERENCIA.Unidade</f>
        <v xml:space="preserve">M2 </v>
      </c>
      <c r="T19" s="124">
        <f ca="1">OFFSET(CÁLCULO!H$15,ROW($T19)-ROW(T$15),0)</f>
        <v>195.33</v>
      </c>
      <c r="U19" s="125">
        <f t="shared" ca="1" si="16"/>
        <v>7.06</v>
      </c>
      <c r="V19" s="126">
        <v>0</v>
      </c>
      <c r="W19" s="124">
        <f ca="1">IF($C19="S",ROUND(IF(TIPOORCAMENTO="Proposto",ORÇAMENTO.CustoUnitario*(1+$AH19),ORÇAMENTO.PrecoUnitarioLicitado),15-13*$AF$10),0)</f>
        <v>7.06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1379.03</v>
      </c>
      <c r="Y19" s="128" t="s">
        <v>245</v>
      </c>
      <c r="Z19" t="str">
        <f t="shared" ca="1" si="12"/>
        <v>RA</v>
      </c>
      <c r="AA19" s="129">
        <f ca="1">IF($C19="S",IF($Z19="CP",$X19,IF($Z19="RA",(($X19)*QCI!$AA$3),0)),SomaAgrup)</f>
        <v>1379.03</v>
      </c>
      <c r="AB19" s="130">
        <f t="shared" ca="1" si="13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Cotação 02</v>
      </c>
      <c r="AF19" s="13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16</v>
      </c>
      <c r="AG19" s="498">
        <f ca="1">ROUND(IF(DESONERACAO="sim",REFERENCIA.Desonerado,REFERENCIA.NaoDesonerado),2)</f>
        <v>7.06</v>
      </c>
      <c r="AH19" s="499">
        <f t="shared" si="14"/>
        <v>0</v>
      </c>
      <c r="AJ19" s="501">
        <v>195.33</v>
      </c>
      <c r="AL19" s="527"/>
      <c r="AM19" s="381">
        <f t="shared" ca="1" si="0"/>
        <v>1379.03</v>
      </c>
      <c r="AN19" s="566">
        <f t="shared" ca="1" si="15"/>
        <v>7.06</v>
      </c>
    </row>
    <row r="20" spans="1:40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1</v>
      </c>
      <c r="G20">
        <f t="shared" ca="1" si="6"/>
        <v>0</v>
      </c>
      <c r="H20">
        <f t="shared" ca="1" si="7"/>
        <v>0</v>
      </c>
      <c r="I20">
        <f t="shared" ca="1" si="8"/>
        <v>3</v>
      </c>
      <c r="J20">
        <f ca="1">IF(OR($C20="S",$C20=0),0,MATCH(0,OFFSET($D20,1,$C20,ROW($C$165)-ROW($C20)),0))</f>
        <v>0</v>
      </c>
      <c r="K20">
        <f ca="1">IF(OR($C20="S",$C20=0),0,MATCH(OFFSET($D20,0,$C20)+IF($C20&lt;&gt;1,1,COUNTIF(QCI!$A$13:$A$24,ORÇAMENTO!E20)),OFFSET($D20,1,$C20,ROW($C$165)-ROW($C20)),0))</f>
        <v>0</v>
      </c>
      <c r="L20" s="116" t="str">
        <f t="shared" ca="1" si="9"/>
        <v>F</v>
      </c>
      <c r="M20" s="117" t="s">
        <v>199</v>
      </c>
      <c r="N20" s="118" t="str">
        <f t="shared" ca="1" si="10"/>
        <v>Serviço</v>
      </c>
      <c r="O20" s="119" t="str">
        <f t="shared" ca="1" si="11"/>
        <v>1.1.3.</v>
      </c>
      <c r="P20" s="120" t="s">
        <v>582</v>
      </c>
      <c r="Q20" s="121" t="s">
        <v>508</v>
      </c>
      <c r="R20" s="122" t="str">
        <f ca="1">IF($C20="S",REFERENCIA.Descricao,"(digite a descrição aqui)")</f>
        <v xml:space="preserve">PROJETO ELÉTRICO </v>
      </c>
      <c r="S20" s="123" t="str">
        <f ca="1">REFERENCIA.Unidade</f>
        <v xml:space="preserve">M2 </v>
      </c>
      <c r="T20" s="124">
        <f ca="1">OFFSET(CÁLCULO!H$15,ROW($T20)-ROW(T$15),0)</f>
        <v>195.33</v>
      </c>
      <c r="U20" s="125">
        <f t="shared" ca="1" si="16"/>
        <v>7.73</v>
      </c>
      <c r="V20" s="126">
        <v>0</v>
      </c>
      <c r="W20" s="124">
        <f ca="1">IF($C20="S",ROUND(IF(TIPOORCAMENTO="Proposto",ORÇAMENTO.CustoUnitario*(1+$AH20),ORÇAMENTO.PrecoUnitarioLicitado),15-13*$AF$10),0)</f>
        <v>7.73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1509.9</v>
      </c>
      <c r="Y20" s="128" t="s">
        <v>245</v>
      </c>
      <c r="Z20" t="str">
        <f t="shared" ca="1" si="12"/>
        <v>RA</v>
      </c>
      <c r="AA20" s="129">
        <f ca="1">IF($C20="S",IF($Z20="CP",$X20,IF($Z20="RA",(($X20)*QCI!$AA$3),0)),SomaAgrup)</f>
        <v>1509.9</v>
      </c>
      <c r="AB20" s="130">
        <f t="shared" ca="1" si="13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Cotação 03</v>
      </c>
      <c r="AF20" s="13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17</v>
      </c>
      <c r="AG20" s="498">
        <f ca="1">ROUND(IF(DESONERACAO="sim",REFERENCIA.Desonerado,REFERENCIA.NaoDesonerado),2)</f>
        <v>7.73</v>
      </c>
      <c r="AH20" s="499">
        <f t="shared" si="14"/>
        <v>0</v>
      </c>
      <c r="AJ20" s="501">
        <v>195.33</v>
      </c>
      <c r="AL20" s="527"/>
      <c r="AM20" s="381">
        <f t="shared" ca="1" si="0"/>
        <v>1509.9</v>
      </c>
      <c r="AN20" s="566">
        <f t="shared" ca="1" si="15"/>
        <v>7.73</v>
      </c>
    </row>
    <row r="21" spans="1:40" x14ac:dyDescent="0.2">
      <c r="A21" t="str">
        <f>CHOOSE(1+LOG(1+2*(ORÇAMENTO.Nivel="Meta")+4*(ORÇAMENTO.Nivel="Nível 2")+8*(ORÇAMENTO.Nivel="Nível 3")+16*(ORÇAMENTO.Nivel="Nível 4")+32*(ORÇAMENTO.Nivel="Serviço"),2),0,1,2,3,4,"S")</f>
        <v>S</v>
      </c>
      <c r="B21">
        <f t="shared" ref="B21:B26" ca="1" si="17">IF(OR(C21="s",C21=0),OFFSET(B21,-1,0),C21)</f>
        <v>2</v>
      </c>
      <c r="C21" t="str">
        <f t="shared" ref="C21:C26" ca="1" si="18">IF(OFFSET(C21,-1,0)="L",1,IF(OFFSET(C21,-1,0)=1,2,IF(OR(A21="s",A21=0),"S",IF(AND(OFFSET(C21,-1,0)=2,A21=4),3,IF(AND(OR(OFFSET(C21,-1,0)="s",OFFSET(C21,-1,0)=0),A21&lt;&gt;"s",A21&gt;OFFSET(B21,-1,0)),OFFSET(B21,-1,0),A21)))))</f>
        <v>S</v>
      </c>
      <c r="D21">
        <f t="shared" ref="D21:D26" ca="1" si="19">IF(OR(C21="S",C21=0),0,IF(ISERROR(K21),J21,SMALL(J21:K21,1)))</f>
        <v>0</v>
      </c>
      <c r="E21">
        <f ca="1">IF($C21=1,OFFSET(E21,-1,0)+MAX(1,COUNTIF(QCI!$A$13:$A$24,OFFSET(ORÇAMENTO!E21,-1,0))),OFFSET(E21,-1,0))</f>
        <v>1</v>
      </c>
      <c r="F21">
        <f t="shared" ref="F21:F26" ca="1" si="20">IF($C21=1,0,IF($C21=2,OFFSET(F21,-1,0)+1,OFFSET(F21,-1,0)))</f>
        <v>1</v>
      </c>
      <c r="G21">
        <f t="shared" ref="G21:G26" ca="1" si="21">IF(AND($C21&lt;=2,$C21&lt;&gt;0),0,IF($C21=3,OFFSET(G21,-1,0)+1,OFFSET(G21,-1,0)))</f>
        <v>0</v>
      </c>
      <c r="H21">
        <f t="shared" ref="H21:H26" ca="1" si="22">IF(AND($C21&lt;=3,$C21&lt;&gt;0),0,IF($C21=4,OFFSET(H21,-1,0)+1,OFFSET(H21,-1,0)))</f>
        <v>0</v>
      </c>
      <c r="I21">
        <f t="shared" ref="I21:I26" ca="1" si="23">IF(AND($C21&lt;=4,$C21&lt;&gt;0),0,IF(AND($C21="S",$X21&gt;0),OFFSET(I21,-1,0)+1,OFFSET(I21,-1,0)))</f>
        <v>4</v>
      </c>
      <c r="J21">
        <f ca="1">IF(OR($C21="S",$C21=0),0,MATCH(0,OFFSET($D21,1,$C21,ROW($C$165)-ROW($C21)),0))</f>
        <v>0</v>
      </c>
      <c r="K21">
        <f ca="1">IF(OR($C21="S",$C21=0),0,MATCH(OFFSET($D21,0,$C21)+IF($C21&lt;&gt;1,1,COUNTIF(QCI!$A$13:$A$24,ORÇAMENTO!E21)),OFFSET($D21,1,$C21,ROW($C$165)-ROW($C21)),0))</f>
        <v>0</v>
      </c>
      <c r="L21" s="116" t="str">
        <f t="shared" ref="L21:L26" ca="1" si="24">IF(OR($X21&gt;0,$C21=1,$C21=2,$C21=3,$C21=4),"F","")</f>
        <v>F</v>
      </c>
      <c r="M21" s="117" t="s">
        <v>199</v>
      </c>
      <c r="N21" s="118" t="str">
        <f t="shared" ref="N21:N26" ca="1" si="25">CHOOSE(1+LOG(1+2*(C21=1)+4*(C21=2)+8*(C21=3)+16*(C21=4)+32*(C21="S"),2),"","Meta","Nível 2","Nível 3","Nível 4","Serviço")</f>
        <v>Serviço</v>
      </c>
      <c r="O21" s="119" t="str">
        <f t="shared" ref="O21:O26" ca="1" si="26">IF(OR($C21=0,$L21=""),"-",CONCATENATE(E21&amp;".",IF(AND($A$5&gt;=2,$C21&gt;=2),F21&amp;".",""),IF(AND($A$5&gt;=3,$C21&gt;=3),G21&amp;".",""),IF(AND($A$5&gt;=4,$C21&gt;=4),H21&amp;".",""),IF($C21="S",I21&amp;".","")))</f>
        <v>1.1.4.</v>
      </c>
      <c r="P21" s="120" t="s">
        <v>582</v>
      </c>
      <c r="Q21" s="121" t="s">
        <v>548</v>
      </c>
      <c r="R21" s="122" t="str">
        <f ca="1">IF($C21="S",REFERENCIA.Descricao,"(digite a descrição aqui)")</f>
        <v xml:space="preserve">PROJETO PREVENTIVO DE INCENDIO </v>
      </c>
      <c r="S21" s="123" t="str">
        <f ca="1">REFERENCIA.Unidade</f>
        <v xml:space="preserve">M2 </v>
      </c>
      <c r="T21" s="124">
        <f ca="1">OFFSET(CÁLCULO!H$15,ROW($T21)-ROW(T$15),0)</f>
        <v>195.33</v>
      </c>
      <c r="U21" s="125">
        <f t="shared" ca="1" si="16"/>
        <v>6.38</v>
      </c>
      <c r="V21" s="126">
        <v>0</v>
      </c>
      <c r="W21" s="124">
        <f ca="1">IF($C21="S",ROUND(IF(TIPOORCAMENTO="Proposto",ORÇAMENTO.CustoUnitario*(1+$AH21),ORÇAMENTO.PrecoUnitarioLicitado),15-13*$AF$10),0)</f>
        <v>6.38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1246.21</v>
      </c>
      <c r="Y21" s="128" t="s">
        <v>245</v>
      </c>
      <c r="Z21" t="str">
        <f t="shared" ref="Z21:Z26" ca="1" si="27">IF(AND($C21="S",$X21&gt;0),IF(ISBLANK($Y21),"RA",LEFT($Y21,2)),"")</f>
        <v>RA</v>
      </c>
      <c r="AA21" s="129">
        <f ca="1">IF($C21="S",IF($Z21="CP",$X21,IF($Z21="RA",(($X21)*QCI!$AA$3),0)),SomaAgrup)</f>
        <v>1246.21</v>
      </c>
      <c r="AB21" s="130">
        <f ca="1">IF($C21="S",IF($Z21="OU",ROUND($X21,2),0),SomaAgrup)</f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Cotação 07</v>
      </c>
      <c r="AF21" s="13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21</v>
      </c>
      <c r="AG21" s="498">
        <f ca="1">ROUND(IF(DESONERACAO="sim",REFERENCIA.Desonerado,REFERENCIA.NaoDesonerado),2)</f>
        <v>6.38</v>
      </c>
      <c r="AH21" s="499">
        <f>ROUND(IF(ISNUMBER(ORÇAMENTO.OpcaoBDI),ORÇAMENTO.OpcaoBDI,IF(LEFT(ORÇAMENTO.OpcaoBDI,3)="BDI",HLOOKUP(ORÇAMENTO.OpcaoBDI,$F$4:$H$5,2,FALSE),0)),15-11*$AF$9)</f>
        <v>0</v>
      </c>
      <c r="AJ21" s="501">
        <v>195.33</v>
      </c>
      <c r="AL21" s="527"/>
      <c r="AM21" s="381">
        <f t="shared" ca="1" si="0"/>
        <v>1246.21</v>
      </c>
      <c r="AN21" s="566">
        <f ca="1">ROUND(ORÇAMENTO.CustoUnitario*(1+$AH21),2)</f>
        <v>6.38</v>
      </c>
    </row>
    <row r="22" spans="1:40" ht="25.5" x14ac:dyDescent="0.2">
      <c r="A22" t="str">
        <f>CHOOSE(1+LOG(1+2*(ORÇAMENTO.Nivel="Meta")+4*(ORÇAMENTO.Nivel="Nível 2")+8*(ORÇAMENTO.Nivel="Nível 3")+16*(ORÇAMENTO.Nivel="Nível 4")+32*(ORÇAMENTO.Nivel="Serviço"),2),0,1,2,3,4,"S")</f>
        <v>S</v>
      </c>
      <c r="B22">
        <f t="shared" ca="1" si="17"/>
        <v>2</v>
      </c>
      <c r="C22" t="str">
        <f t="shared" ca="1" si="18"/>
        <v>S</v>
      </c>
      <c r="D22">
        <f t="shared" ca="1" si="19"/>
        <v>0</v>
      </c>
      <c r="E22">
        <f ca="1">IF($C22=1,OFFSET(E22,-1,0)+MAX(1,COUNTIF(QCI!$A$13:$A$24,OFFSET(ORÇAMENTO!E22,-1,0))),OFFSET(E22,-1,0))</f>
        <v>1</v>
      </c>
      <c r="F22">
        <f t="shared" ca="1" si="20"/>
        <v>1</v>
      </c>
      <c r="G22">
        <f t="shared" ca="1" si="21"/>
        <v>0</v>
      </c>
      <c r="H22">
        <f t="shared" ca="1" si="22"/>
        <v>0</v>
      </c>
      <c r="I22">
        <f t="shared" ca="1" si="23"/>
        <v>5</v>
      </c>
      <c r="J22">
        <f ca="1">IF(OR($C22="S",$C22=0),0,MATCH(0,OFFSET($D22,1,$C22,ROW($C$165)-ROW($C22)),0))</f>
        <v>0</v>
      </c>
      <c r="K22">
        <f ca="1">IF(OR($C22="S",$C22=0),0,MATCH(OFFSET($D22,0,$C22)+IF($C22&lt;&gt;1,1,COUNTIF(QCI!$A$13:$A$24,ORÇAMENTO!E22)),OFFSET($D22,1,$C22,ROW($C$165)-ROW($C22)),0))</f>
        <v>0</v>
      </c>
      <c r="L22" s="116" t="str">
        <f t="shared" ca="1" si="24"/>
        <v>F</v>
      </c>
      <c r="M22" s="117" t="s">
        <v>199</v>
      </c>
      <c r="N22" s="118" t="str">
        <f t="shared" ca="1" si="25"/>
        <v>Serviço</v>
      </c>
      <c r="O22" s="119" t="str">
        <f t="shared" ca="1" si="26"/>
        <v>1.1.5.</v>
      </c>
      <c r="P22" s="120" t="s">
        <v>247</v>
      </c>
      <c r="Q22" s="121" t="s">
        <v>583</v>
      </c>
      <c r="R22" s="122" t="str">
        <f ca="1">IF($C22="S",REFERENCIA.Descricao,"(digite a descrição aqui)")</f>
        <v>ENGENHEIRO CIVIL DE OBRA JUNIOR COM ENCARGOS COMPLEMENTARES</v>
      </c>
      <c r="S22" s="123" t="str">
        <f ca="1">REFERENCIA.Unidade</f>
        <v>H</v>
      </c>
      <c r="T22" s="124">
        <f ca="1">OFFSET(CÁLCULO!H$15,ROW($T22)-ROW(T$15),0)</f>
        <v>6</v>
      </c>
      <c r="U22" s="125">
        <f t="shared" ca="1" si="16"/>
        <v>139.05000000000001</v>
      </c>
      <c r="V22" s="126" t="s">
        <v>156</v>
      </c>
      <c r="W22" s="124">
        <f ca="1">IF($C22="S",ROUND(IF(TIPOORCAMENTO="Proposto",ORÇAMENTO.CustoUnitario*(1+$AH22),ORÇAMENTO.PrecoUnitarioLicitado),15-13*$AF$10),0)</f>
        <v>167.35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1004.1</v>
      </c>
      <c r="Y22" s="128" t="s">
        <v>245</v>
      </c>
      <c r="Z22" t="str">
        <f t="shared" ca="1" si="27"/>
        <v>RA</v>
      </c>
      <c r="AA22" s="129">
        <f ca="1">IF($C22="S",IF($Z22="CP",$X22,IF($Z22="RA",(($X22)*QCI!$AA$3),0)),SomaAgrup)</f>
        <v>1004.1</v>
      </c>
      <c r="AB22" s="130">
        <f ca="1">IF($C22="S",IF($Z22="OU",ROUND($X22,2),0),SomaAgrup)</f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SINAPI 90777</v>
      </c>
      <c r="AF22" s="13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13580</v>
      </c>
      <c r="AG22" s="498">
        <f ca="1">ROUND(IF(DESONERACAO="sim",REFERENCIA.Desonerado,REFERENCIA.NaoDesonerado),2)</f>
        <v>139.05000000000001</v>
      </c>
      <c r="AH22" s="499">
        <f ca="1">ROUND(IF(ISNUMBER(ORÇAMENTO.OpcaoBDI),ORÇAMENTO.OpcaoBDI,IF(LEFT(ORÇAMENTO.OpcaoBDI,3)="BDI",HLOOKUP(ORÇAMENTO.OpcaoBDI,$F$4:$H$5,2,FALSE),0)),15-11*$AF$9)</f>
        <v>0.20349999999999999</v>
      </c>
      <c r="AJ22" s="501">
        <v>6</v>
      </c>
      <c r="AL22" s="527"/>
      <c r="AM22" s="381">
        <f t="shared" ca="1" si="0"/>
        <v>1004.1</v>
      </c>
      <c r="AN22" s="566">
        <f ca="1">ROUND(ORÇAMENTO.CustoUnitario*(1+$AH22),2)</f>
        <v>167.35</v>
      </c>
    </row>
    <row r="23" spans="1:40" x14ac:dyDescent="0.2">
      <c r="A23">
        <f t="shared" ref="A23:A26" si="28">CHOOSE(1+LOG(1+2*(ORÇAMENTO.Nivel="Meta")+4*(ORÇAMENTO.Nivel="Nível 2")+8*(ORÇAMENTO.Nivel="Nível 3")+16*(ORÇAMENTO.Nivel="Nível 4")+32*(ORÇAMENTO.Nivel="Serviço"),2),0,1,2,3,4,"S")</f>
        <v>2</v>
      </c>
      <c r="B23">
        <f t="shared" ca="1" si="17"/>
        <v>2</v>
      </c>
      <c r="C23">
        <f t="shared" ca="1" si="18"/>
        <v>2</v>
      </c>
      <c r="D23">
        <f t="shared" ca="1" si="19"/>
        <v>4</v>
      </c>
      <c r="E23">
        <f ca="1">IF($C23=1,OFFSET(E23,-1,0)+MAX(1,COUNTIF(QCI!$A$13:$A$24,OFFSET(ORÇAMENTO!E23,-1,0))),OFFSET(E23,-1,0))</f>
        <v>1</v>
      </c>
      <c r="F23">
        <f t="shared" ca="1" si="20"/>
        <v>2</v>
      </c>
      <c r="G23">
        <f t="shared" ca="1" si="21"/>
        <v>0</v>
      </c>
      <c r="H23">
        <f t="shared" ca="1" si="22"/>
        <v>0</v>
      </c>
      <c r="I23">
        <f t="shared" ca="1" si="23"/>
        <v>0</v>
      </c>
      <c r="J23">
        <f ca="1">IF(OR($C23="S",$C23=0),0,MATCH(0,OFFSET($D23,1,$C23,ROW($C$165)-ROW($C23)),0))</f>
        <v>4</v>
      </c>
      <c r="K23">
        <f ca="1">IF(OR($C23="S",$C23=0),0,MATCH(OFFSET($D23,0,$C23)+IF($C23&lt;&gt;1,1,COUNTIF(QCI!$A$13:$A$24,ORÇAMENTO!E23)),OFFSET($D23,1,$C23,ROW($C$165)-ROW($C23)),0))</f>
        <v>39</v>
      </c>
      <c r="L23" s="116" t="str">
        <f t="shared" ca="1" si="24"/>
        <v>F</v>
      </c>
      <c r="M23" s="117" t="s">
        <v>196</v>
      </c>
      <c r="N23" s="118" t="str">
        <f t="shared" ca="1" si="25"/>
        <v>Nível 2</v>
      </c>
      <c r="O23" s="119" t="str">
        <f t="shared" ca="1" si="26"/>
        <v>1.2.</v>
      </c>
      <c r="P23" s="120" t="s">
        <v>247</v>
      </c>
      <c r="Q23" s="121"/>
      <c r="R23" s="122" t="s">
        <v>588</v>
      </c>
      <c r="S23" s="123" t="str">
        <f ca="1">REFERENCIA.Unidade</f>
        <v>-</v>
      </c>
      <c r="T23" s="124">
        <f ca="1">OFFSET(CÁLCULO!H$15,ROW($T23)-ROW(T$15),0)</f>
        <v>0</v>
      </c>
      <c r="U23" s="125">
        <f t="shared" ca="1" si="16"/>
        <v>0</v>
      </c>
      <c r="V23" s="126" t="s">
        <v>156</v>
      </c>
      <c r="W23" s="124">
        <f ca="1">IF($C23="S",ROUND(IF(TIPOORCAMENTO="Proposto",ORÇAMENTO.CustoUnitario*(1+$AH23),ORÇAMENTO.PrecoUnitarioLicitado),15-13*$AF$10),0)</f>
        <v>0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5819.77</v>
      </c>
      <c r="Y23" s="128" t="s">
        <v>245</v>
      </c>
      <c r="Z23" t="str">
        <f t="shared" ca="1" si="27"/>
        <v/>
      </c>
      <c r="AA23" s="129">
        <f ca="1">IF($C23="S",IF($Z23="CP",$X23,IF($Z23="RA",(($X23)*QCI!$AA$3),0)),SomaAgrup)</f>
        <v>5819.77</v>
      </c>
      <c r="AB23" s="130">
        <f t="shared" ref="AB23:AB26" ca="1" si="29">IF($C23="S",IF($Z23="OU",ROUND($X23,2),0),SomaAgrup)</f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>
        <f ca="1">IF(C23&lt;=CRONO.NivelExibicao,MAX($AD$15:OFFSET(AD23,-1,0))+IF($C23&lt;&gt;1,1,MAX(1,COUNTIF(QCI!$A$13:$A$24,OFFSET($E23,-1,0)))),"")</f>
        <v>3</v>
      </c>
      <c r="AE23" s="7" t="b">
        <f ca="1">IF(AND($C23="S",ORÇAMENTO.CodBarra&lt;&gt;""),IF(ORÇAMENTO.Fonte="",ORÇAMENTO.CodBarra,CONCATENATE(ORÇAMENTO.Fonte," ",ORÇAMENTO.CodBarra)))</f>
        <v>0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(Sem Código)</v>
      </c>
      <c r="AG23" s="498">
        <f ca="1">ROUND(IF(DESONERACAO="sim",REFERENCIA.Desonerado,REFERENCIA.NaoDesonerado),2)</f>
        <v>0</v>
      </c>
      <c r="AH23" s="499">
        <f t="shared" ref="AH23:AH26" ca="1" si="30">ROUND(IF(ISNUMBER(ORÇAMENTO.OpcaoBDI),ORÇAMENTO.OpcaoBDI,IF(LEFT(ORÇAMENTO.OpcaoBDI,3)="BDI",HLOOKUP(ORÇAMENTO.OpcaoBDI,$F$4:$H$5,2,FALSE),0)),15-11*$AF$9)</f>
        <v>0.20349999999999999</v>
      </c>
      <c r="AJ23" s="501"/>
      <c r="AL23" s="527"/>
      <c r="AM23" s="381">
        <f t="shared" ca="1" si="0"/>
        <v>5819.77</v>
      </c>
      <c r="AN23" s="566">
        <f t="shared" ref="AN23:AN26" ca="1" si="31">ROUND(ORÇAMENTO.CustoUnitario*(1+$AH23),2)</f>
        <v>0</v>
      </c>
    </row>
    <row r="24" spans="1:40" ht="25.5" x14ac:dyDescent="0.2">
      <c r="A24" t="str">
        <f>CHOOSE(1+LOG(1+2*(ORÇAMENTO.Nivel="Meta")+4*(ORÇAMENTO.Nivel="Nível 2")+8*(ORÇAMENTO.Nivel="Nível 3")+16*(ORÇAMENTO.Nivel="Nível 4")+32*(ORÇAMENTO.Nivel="Serviço"),2),0,1,2,3,4,"S")</f>
        <v>S</v>
      </c>
      <c r="B24">
        <f t="shared" ca="1" si="17"/>
        <v>2</v>
      </c>
      <c r="C24" t="str">
        <f t="shared" ca="1" si="18"/>
        <v>S</v>
      </c>
      <c r="D24">
        <f t="shared" ca="1" si="19"/>
        <v>0</v>
      </c>
      <c r="E24">
        <f ca="1">IF($C24=1,OFFSET(E24,-1,0)+MAX(1,COUNTIF(QCI!$A$13:$A$24,OFFSET(ORÇAMENTO!E24,-1,0))),OFFSET(E24,-1,0))</f>
        <v>1</v>
      </c>
      <c r="F24">
        <f t="shared" ca="1" si="20"/>
        <v>2</v>
      </c>
      <c r="G24">
        <f t="shared" ca="1" si="21"/>
        <v>0</v>
      </c>
      <c r="H24">
        <f t="shared" ca="1" si="22"/>
        <v>0</v>
      </c>
      <c r="I24">
        <f t="shared" ca="1" si="23"/>
        <v>1</v>
      </c>
      <c r="J24">
        <f ca="1">IF(OR($C24="S",$C24=0),0,MATCH(0,OFFSET($D24,1,$C24,ROW($C$165)-ROW($C24)),0))</f>
        <v>0</v>
      </c>
      <c r="K24">
        <f ca="1">IF(OR($C24="S",$C24=0),0,MATCH(OFFSET($D24,0,$C24)+IF($C24&lt;&gt;1,1,COUNTIF(QCI!$A$13:$A$24,ORÇAMENTO!E24)),OFFSET($D24,1,$C24,ROW($C$165)-ROW($C24)),0))</f>
        <v>0</v>
      </c>
      <c r="L24" s="116" t="str">
        <f t="shared" ca="1" si="24"/>
        <v>F</v>
      </c>
      <c r="M24" s="117" t="s">
        <v>199</v>
      </c>
      <c r="N24" s="118" t="str">
        <f t="shared" ca="1" si="25"/>
        <v>Serviço</v>
      </c>
      <c r="O24" s="119" t="str">
        <f t="shared" ca="1" si="26"/>
        <v>1.2.1.</v>
      </c>
      <c r="P24" s="120" t="s">
        <v>247</v>
      </c>
      <c r="Q24" s="121" t="s">
        <v>589</v>
      </c>
      <c r="R24" s="122" t="str">
        <f ca="1">IF($C24="S",REFERENCIA.Descricao,"(digite a descrição aqui)")</f>
        <v>CORTE RASO E RECORTE DE ÁRVORE COM DIÂMETRO DE TRONCO MAIOR OU IGUAL A 0,60 M. AF_03/2024</v>
      </c>
      <c r="S24" s="123" t="str">
        <f ca="1">REFERENCIA.Unidade</f>
        <v>UN</v>
      </c>
      <c r="T24" s="124">
        <f ca="1">OFFSET(CÁLCULO!H$15,ROW($T24)-ROW(T$15),0)</f>
        <v>3</v>
      </c>
      <c r="U24" s="125">
        <f t="shared" ca="1" si="16"/>
        <v>456.75</v>
      </c>
      <c r="V24" s="126" t="s">
        <v>156</v>
      </c>
      <c r="W24" s="124">
        <f ca="1">IF($C24="S",ROUND(IF(TIPOORCAMENTO="Proposto",ORÇAMENTO.CustoUnitario*(1+$AH24),ORÇAMENTO.PrecoUnitarioLicitado),15-13*$AF$10),0)</f>
        <v>549.70000000000005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1649.1</v>
      </c>
      <c r="Y24" s="128" t="s">
        <v>245</v>
      </c>
      <c r="Z24" t="str">
        <f t="shared" ca="1" si="27"/>
        <v>RA</v>
      </c>
      <c r="AA24" s="129">
        <f ca="1">IF($C24="S",IF($Z24="CP",$X24,IF($Z24="RA",(($X24)*QCI!$AA$3),0)),SomaAgrup)</f>
        <v>1649.1</v>
      </c>
      <c r="AB24" s="130">
        <f ca="1">IF($C24="S",IF($Z24="OU",ROUND($X24,2),0),SomaAgrup)</f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SINAPI 98531</v>
      </c>
      <c r="AF24" s="13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15779</v>
      </c>
      <c r="AG24" s="498">
        <f ca="1">ROUND(IF(DESONERACAO="sim",REFERENCIA.Desonerado,REFERENCIA.NaoDesonerado),2)</f>
        <v>456.75</v>
      </c>
      <c r="AH24" s="499">
        <f ca="1">ROUND(IF(ISNUMBER(ORÇAMENTO.OpcaoBDI),ORÇAMENTO.OpcaoBDI,IF(LEFT(ORÇAMENTO.OpcaoBDI,3)="BDI",HLOOKUP(ORÇAMENTO.OpcaoBDI,$F$4:$H$5,2,FALSE),0)),15-11*$AF$9)</f>
        <v>0.20349999999999999</v>
      </c>
      <c r="AJ24" s="501">
        <v>3</v>
      </c>
      <c r="AL24" s="527"/>
      <c r="AM24" s="381">
        <f t="shared" ca="1" si="0"/>
        <v>1649.1</v>
      </c>
      <c r="AN24" s="566">
        <f ca="1">ROUND(ORÇAMENTO.CustoUnitario*(1+$AH24),2)</f>
        <v>549.70000000000005</v>
      </c>
    </row>
    <row r="25" spans="1:40" ht="25.5" x14ac:dyDescent="0.2">
      <c r="A25" t="str">
        <f t="shared" si="28"/>
        <v>S</v>
      </c>
      <c r="B25">
        <f t="shared" ca="1" si="17"/>
        <v>2</v>
      </c>
      <c r="C25" t="str">
        <f t="shared" ca="1" si="18"/>
        <v>S</v>
      </c>
      <c r="D25">
        <f t="shared" ca="1" si="19"/>
        <v>0</v>
      </c>
      <c r="E25">
        <f ca="1">IF($C25=1,OFFSET(E25,-1,0)+MAX(1,COUNTIF(QCI!$A$13:$A$24,OFFSET(ORÇAMENTO!E25,-1,0))),OFFSET(E25,-1,0))</f>
        <v>1</v>
      </c>
      <c r="F25">
        <f t="shared" ca="1" si="20"/>
        <v>2</v>
      </c>
      <c r="G25">
        <f t="shared" ca="1" si="21"/>
        <v>0</v>
      </c>
      <c r="H25">
        <f t="shared" ca="1" si="22"/>
        <v>0</v>
      </c>
      <c r="I25">
        <f t="shared" ca="1" si="23"/>
        <v>2</v>
      </c>
      <c r="J25">
        <f ca="1">IF(OR($C25="S",$C25=0),0,MATCH(0,OFFSET($D25,1,$C25,ROW($C$165)-ROW($C25)),0))</f>
        <v>0</v>
      </c>
      <c r="K25">
        <f ca="1">IF(OR($C25="S",$C25=0),0,MATCH(OFFSET($D25,0,$C25)+IF($C25&lt;&gt;1,1,COUNTIF(QCI!$A$13:$A$24,ORÇAMENTO!E25)),OFFSET($D25,1,$C25,ROW($C$165)-ROW($C25)),0))</f>
        <v>0</v>
      </c>
      <c r="L25" s="116" t="str">
        <f t="shared" ca="1" si="24"/>
        <v>F</v>
      </c>
      <c r="M25" s="117" t="s">
        <v>199</v>
      </c>
      <c r="N25" s="118" t="str">
        <f t="shared" ca="1" si="25"/>
        <v>Serviço</v>
      </c>
      <c r="O25" s="119" t="str">
        <f t="shared" ca="1" si="26"/>
        <v>1.2.2.</v>
      </c>
      <c r="P25" s="120" t="s">
        <v>247</v>
      </c>
      <c r="Q25" s="121" t="s">
        <v>470</v>
      </c>
      <c r="R25" s="122" t="str">
        <f ca="1">IF($C25="S",REFERENCIA.Descricao,"(digite a descrição aqui)")</f>
        <v>FORNECIMENTO E INSTALAÇÃO DE PLACA DE OBRA COM CHAPA GALVANIZADA E ESTRUTURA DE MADEIRA. AF_03/2022_PS</v>
      </c>
      <c r="S25" s="123" t="str">
        <f ca="1">REFERENCIA.Unidade</f>
        <v>M2</v>
      </c>
      <c r="T25" s="124">
        <f ca="1">OFFSET(CÁLCULO!H$15,ROW($T25)-ROW(T$15),0)</f>
        <v>3</v>
      </c>
      <c r="U25" s="125">
        <f t="shared" ref="U25:U113" ca="1" si="32">AG25</f>
        <v>504.37</v>
      </c>
      <c r="V25" s="126" t="s">
        <v>156</v>
      </c>
      <c r="W25" s="124">
        <f ca="1">IF($C25="S",ROUND(IF(TIPOORCAMENTO="Proposto",ORÇAMENTO.CustoUnitario*(1+$AH25),ORÇAMENTO.PrecoUnitarioLicitado),15-13*$AF$10),0)</f>
        <v>607.01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1821.03</v>
      </c>
      <c r="Y25" s="128" t="s">
        <v>245</v>
      </c>
      <c r="Z25" t="str">
        <f t="shared" ca="1" si="27"/>
        <v>RA</v>
      </c>
      <c r="AA25" s="129">
        <f ca="1">IF($C25="S",IF($Z25="CP",$X25,IF($Z25="RA",(($X25)*QCI!$AA$3),0)),SomaAgrup)</f>
        <v>1821.03</v>
      </c>
      <c r="AB25" s="130">
        <f t="shared" ca="1" si="29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" t="str">
        <f ca="1">IF(AND($C25="S",ORÇAMENTO.CodBarra&lt;&gt;""),IF(ORÇAMENTO.Fonte="",ORÇAMENTO.CodBarra,CONCATENATE(ORÇAMENTO.Fonte," ",ORÇAMENTO.CodBarra)))</f>
        <v>SINAPI 103689</v>
      </c>
      <c r="AF25" s="13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15596</v>
      </c>
      <c r="AG25" s="498">
        <f ca="1">ROUND(IF(DESONERACAO="sim",REFERENCIA.Desonerado,REFERENCIA.NaoDesonerado),2)</f>
        <v>504.37</v>
      </c>
      <c r="AH25" s="499">
        <f t="shared" ca="1" si="30"/>
        <v>0.20349999999999999</v>
      </c>
      <c r="AJ25" s="501">
        <v>3</v>
      </c>
      <c r="AL25" s="527"/>
      <c r="AM25" s="381">
        <f t="shared" ca="1" si="0"/>
        <v>1821.03</v>
      </c>
      <c r="AN25" s="566">
        <f t="shared" ca="1" si="31"/>
        <v>607.01</v>
      </c>
    </row>
    <row r="26" spans="1:40" ht="38.25" x14ac:dyDescent="0.2">
      <c r="A26" t="str">
        <f t="shared" si="28"/>
        <v>S</v>
      </c>
      <c r="B26">
        <f t="shared" ca="1" si="17"/>
        <v>2</v>
      </c>
      <c r="C26" t="str">
        <f t="shared" ca="1" si="18"/>
        <v>S</v>
      </c>
      <c r="D26">
        <f t="shared" ca="1" si="19"/>
        <v>0</v>
      </c>
      <c r="E26">
        <f ca="1">IF($C26=1,OFFSET(E26,-1,0)+MAX(1,COUNTIF(QCI!$A$13:$A$24,OFFSET(ORÇAMENTO!E26,-1,0))),OFFSET(E26,-1,0))</f>
        <v>1</v>
      </c>
      <c r="F26">
        <f t="shared" ca="1" si="20"/>
        <v>2</v>
      </c>
      <c r="G26">
        <f t="shared" ca="1" si="21"/>
        <v>0</v>
      </c>
      <c r="H26">
        <f t="shared" ca="1" si="22"/>
        <v>0</v>
      </c>
      <c r="I26">
        <f t="shared" ca="1" si="23"/>
        <v>3</v>
      </c>
      <c r="J26">
        <f ca="1">IF(OR($C26="S",$C26=0),0,MATCH(0,OFFSET($D26,1,$C26,ROW($C$165)-ROW($C26)),0))</f>
        <v>0</v>
      </c>
      <c r="K26">
        <f ca="1">IF(OR($C26="S",$C26=0),0,MATCH(OFFSET($D26,0,$C26)+IF($C26&lt;&gt;1,1,COUNTIF(QCI!$A$13:$A$24,ORÇAMENTO!E26)),OFFSET($D26,1,$C26,ROW($C$165)-ROW($C26)),0))</f>
        <v>0</v>
      </c>
      <c r="L26" s="116" t="str">
        <f t="shared" ca="1" si="24"/>
        <v>F</v>
      </c>
      <c r="M26" s="117" t="s">
        <v>199</v>
      </c>
      <c r="N26" s="118" t="str">
        <f t="shared" ca="1" si="25"/>
        <v>Serviço</v>
      </c>
      <c r="O26" s="119" t="str">
        <f t="shared" ca="1" si="26"/>
        <v>1.2.3.</v>
      </c>
      <c r="P26" s="120" t="s">
        <v>247</v>
      </c>
      <c r="Q26" s="121" t="s">
        <v>483</v>
      </c>
      <c r="R26" s="122" t="str">
        <f ca="1">IF($C26="S",REFERENCIA.Descricao,"(digite a descrição aqui)")</f>
        <v>LOCAÇÃO CONVENCIONAL DE OBRA, UTILIZANDO GABARITO DE TÁBUAS CORRIDAS PONTALETADAS A CADA 2,00M - 2 UTILIZAÇÕES. AF_03/2024</v>
      </c>
      <c r="S26" s="123" t="str">
        <f ca="1">REFERENCIA.Unidade</f>
        <v>M</v>
      </c>
      <c r="T26" s="124">
        <f ca="1">OFFSET(CÁLCULO!H$15,ROW($T26)-ROW(T$15),0)</f>
        <v>20.6</v>
      </c>
      <c r="U26" s="125">
        <f t="shared" ca="1" si="32"/>
        <v>94.77</v>
      </c>
      <c r="V26" s="126" t="s">
        <v>156</v>
      </c>
      <c r="W26" s="124">
        <f ca="1">IF($C26="S",ROUND(IF(TIPOORCAMENTO="Proposto",ORÇAMENTO.CustoUnitario*(1+$AH26),ORÇAMENTO.PrecoUnitarioLicitado),15-13*$AF$10),0)</f>
        <v>114.06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2349.64</v>
      </c>
      <c r="Y26" s="128" t="s">
        <v>245</v>
      </c>
      <c r="Z26" t="str">
        <f t="shared" ca="1" si="27"/>
        <v>RA</v>
      </c>
      <c r="AA26" s="129">
        <f ca="1">IF($C26="S",IF($Z26="CP",$X26,IF($Z26="RA",(($X26)*QCI!$AA$3),0)),SomaAgrup)</f>
        <v>2349.64</v>
      </c>
      <c r="AB26" s="130">
        <f t="shared" ca="1" si="29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SINAPI 99059</v>
      </c>
      <c r="AF26" s="13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13703</v>
      </c>
      <c r="AG26" s="498">
        <f ca="1">ROUND(IF(DESONERACAO="sim",REFERENCIA.Desonerado,REFERENCIA.NaoDesonerado),2)</f>
        <v>94.77</v>
      </c>
      <c r="AH26" s="499">
        <f t="shared" ca="1" si="30"/>
        <v>0.20349999999999999</v>
      </c>
      <c r="AJ26" s="501">
        <v>20.6</v>
      </c>
      <c r="AL26" s="527"/>
      <c r="AM26" s="381">
        <f t="shared" ca="1" si="0"/>
        <v>2349.64</v>
      </c>
      <c r="AN26" s="566">
        <f t="shared" ca="1" si="31"/>
        <v>114.06</v>
      </c>
    </row>
    <row r="27" spans="1:40" x14ac:dyDescent="0.2">
      <c r="A27">
        <f t="shared" si="1"/>
        <v>1</v>
      </c>
      <c r="B27">
        <f t="shared" ca="1" si="2"/>
        <v>1</v>
      </c>
      <c r="C27">
        <f t="shared" ca="1" si="3"/>
        <v>1</v>
      </c>
      <c r="D27">
        <f t="shared" ca="1" si="4"/>
        <v>13</v>
      </c>
      <c r="E27">
        <f ca="1">IF($C27=1,OFFSET(E27,-1,0)+MAX(1,COUNTIF(QCI!$A$13:$A$24,OFFSET(ORÇAMENTO!E27,-1,0))),OFFSET(E27,-1,0))</f>
        <v>2</v>
      </c>
      <c r="F27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  <c r="J27">
        <f ca="1">IF(OR($C27="S",$C27=0),0,MATCH(0,OFFSET($D27,1,$C27,ROW($C$165)-ROW($C27)),0))</f>
        <v>138</v>
      </c>
      <c r="K27">
        <f ca="1">IF(OR($C27="S",$C27=0),0,MATCH(OFFSET($D27,0,$C27)+IF($C27&lt;&gt;1,1,COUNTIF(QCI!$A$13:$A$24,ORÇAMENTO!E27)),OFFSET($D27,1,$C27,ROW($C$165)-ROW($C27)),0))</f>
        <v>13</v>
      </c>
      <c r="L27" s="116" t="str">
        <f t="shared" ca="1" si="9"/>
        <v>F</v>
      </c>
      <c r="M27" s="117" t="s">
        <v>195</v>
      </c>
      <c r="N27" s="118" t="str">
        <f t="shared" ca="1" si="10"/>
        <v>Meta</v>
      </c>
      <c r="O27" s="119" t="str">
        <f t="shared" ca="1" si="11"/>
        <v>2.</v>
      </c>
      <c r="P27" s="120" t="s">
        <v>247</v>
      </c>
      <c r="Q27" s="121"/>
      <c r="R27" s="122" t="s">
        <v>487</v>
      </c>
      <c r="S27" s="123" t="str">
        <f ca="1">REFERENCIA.Unidade</f>
        <v>-</v>
      </c>
      <c r="T27" s="124">
        <f ca="1">OFFSET(CÁLCULO!H$15,ROW($T27)-ROW(T$15),0)</f>
        <v>0</v>
      </c>
      <c r="U27" s="125">
        <f t="shared" ca="1" si="32"/>
        <v>0</v>
      </c>
      <c r="V27" s="126" t="s">
        <v>156</v>
      </c>
      <c r="W27" s="124">
        <f ca="1">IF($C27="S",ROUND(IF(TIPOORCAMENTO="Proposto",ORÇAMENTO.CustoUnitario*(1+$AH27),ORÇAMENTO.PrecoUnitarioLicitado),15-13*$AF$10),0)</f>
        <v>0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29551.54</v>
      </c>
      <c r="Y27" s="128" t="s">
        <v>245</v>
      </c>
      <c r="Z27" t="str">
        <f t="shared" ca="1" si="12"/>
        <v/>
      </c>
      <c r="AA27" s="129">
        <f ca="1">IF($C27="S",IF($Z27="CP",$X27,IF($Z27="RA",(($X27)*QCI!$AA$3),0)),SomaAgrup)</f>
        <v>29551.54</v>
      </c>
      <c r="AB27" s="130">
        <f t="shared" ca="1" si="13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>
        <f ca="1">IF(C27&lt;=CRONO.NivelExibicao,MAX($AD$15:OFFSET(AD27,-1,0))+IF($C27&lt;&gt;1,1,MAX(1,COUNTIF(QCI!$A$13:$A$24,OFFSET($E27,-1,0)))),"")</f>
        <v>4</v>
      </c>
      <c r="AE27" s="7" t="b">
        <f ca="1">IF(AND($C27="S",ORÇAMENTO.CodBarra&lt;&gt;""),IF(ORÇAMENTO.Fonte="",ORÇAMENTO.CodBarra,CONCATENATE(ORÇAMENTO.Fonte," ",ORÇAMENTO.CodBarra)))</f>
        <v>0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(Sem Código)</v>
      </c>
      <c r="AG27" s="498">
        <f ca="1">ROUND(IF(DESONERACAO="sim",REFERENCIA.Desonerado,REFERENCIA.NaoDesonerado),2)</f>
        <v>0</v>
      </c>
      <c r="AH27" s="499">
        <f t="shared" ca="1" si="14"/>
        <v>0.20349999999999999</v>
      </c>
      <c r="AJ27" s="501"/>
      <c r="AL27" s="527"/>
      <c r="AM27" s="381">
        <f t="shared" ca="1" si="0"/>
        <v>29551.54</v>
      </c>
      <c r="AN27" s="566">
        <f t="shared" ca="1" si="15"/>
        <v>0</v>
      </c>
    </row>
    <row r="28" spans="1:40" x14ac:dyDescent="0.2">
      <c r="A28">
        <f>CHOOSE(1+LOG(1+2*(ORÇAMENTO.Nivel="Meta")+4*(ORÇAMENTO.Nivel="Nível 2")+8*(ORÇAMENTO.Nivel="Nível 3")+16*(ORÇAMENTO.Nivel="Nível 4")+32*(ORÇAMENTO.Nivel="Serviço"),2),0,1,2,3,4,"S")</f>
        <v>2</v>
      </c>
      <c r="B28">
        <f ca="1">IF(OR(C28="s",C28=0),OFFSET(B28,-1,0),C28)</f>
        <v>2</v>
      </c>
      <c r="C28">
        <f ca="1">IF(OFFSET(C28,-1,0)="L",1,IF(OFFSET(C28,-1,0)=1,2,IF(OR(A28="s",A28=0),"S",IF(AND(OFFSET(C28,-1,0)=2,A28=4),3,IF(AND(OR(OFFSET(C28,-1,0)="s",OFFSET(C28,-1,0)=0),A28&lt;&gt;"s",A28&gt;OFFSET(B28,-1,0)),OFFSET(B28,-1,0),A28)))))</f>
        <v>2</v>
      </c>
      <c r="D28">
        <f ca="1">IF(OR(C28="S",C28=0),0,IF(ISERROR(K28),J28,SMALL(J28:K28,1)))</f>
        <v>5</v>
      </c>
      <c r="E28">
        <f ca="1">IF($C28=1,OFFSET(E28,-1,0)+MAX(1,COUNTIF(QCI!$A$13:$A$24,OFFSET(ORÇAMENTO!E28,-1,0))),OFFSET(E28,-1,0))</f>
        <v>2</v>
      </c>
      <c r="F28">
        <f ca="1">IF($C28=1,0,IF($C28=2,OFFSET(F28,-1,0)+1,OFFSET(F28,-1,0)))</f>
        <v>1</v>
      </c>
      <c r="G28">
        <f ca="1">IF(AND($C28&lt;=2,$C28&lt;&gt;0),0,IF($C28=3,OFFSET(G28,-1,0)+1,OFFSET(G28,-1,0)))</f>
        <v>0</v>
      </c>
      <c r="H28">
        <f ca="1">IF(AND($C28&lt;=3,$C28&lt;&gt;0),0,IF($C28=4,OFFSET(H28,-1,0)+1,OFFSET(H28,-1,0)))</f>
        <v>0</v>
      </c>
      <c r="I28">
        <f ca="1">IF(AND($C28&lt;=4,$C28&lt;&gt;0),0,IF(AND($C28="S",$X28&gt;0),OFFSET(I28,-1,0)+1,OFFSET(I28,-1,0)))</f>
        <v>0</v>
      </c>
      <c r="J28">
        <f ca="1">IF(OR($C28="S",$C28=0),0,MATCH(0,OFFSET($D28,1,$C28,ROW($C$165)-ROW($C28)),0))</f>
        <v>12</v>
      </c>
      <c r="K28">
        <f ca="1">IF(OR($C28="S",$C28=0),0,MATCH(OFFSET($D28,0,$C28)+IF($C28&lt;&gt;1,1,COUNTIF(QCI!$A$13:$A$24,ORÇAMENTO!E28)),OFFSET($D28,1,$C28,ROW($C$165)-ROW($C28)),0))</f>
        <v>5</v>
      </c>
      <c r="L28" s="116" t="str">
        <f ca="1">IF(OR($X28&gt;0,$C28=1,$C28=2,$C28=3,$C28=4),"F","")</f>
        <v>F</v>
      </c>
      <c r="M28" s="117" t="s">
        <v>196</v>
      </c>
      <c r="N28" s="118" t="str">
        <f ca="1">CHOOSE(1+LOG(1+2*(C28=1)+4*(C28=2)+8*(C28=3)+16*(C28=4)+32*(C28="S"),2),"","Meta","Nível 2","Nível 3","Nível 4","Serviço")</f>
        <v>Nível 2</v>
      </c>
      <c r="O28" s="119" t="str">
        <f ca="1">IF(OR($C28=0,$L28=""),"-",CONCATENATE(E28&amp;".",IF(AND($A$5&gt;=2,$C28&gt;=2),F28&amp;".",""),IF(AND($A$5&gt;=3,$C28&gt;=3),G28&amp;".",""),IF(AND($A$5&gt;=4,$C28&gt;=4),H28&amp;".",""),IF($C28="S",I28&amp;".","")))</f>
        <v>2.1.</v>
      </c>
      <c r="P28" s="120" t="s">
        <v>247</v>
      </c>
      <c r="Q28" s="121"/>
      <c r="R28" s="122" t="s">
        <v>565</v>
      </c>
      <c r="S28" s="123" t="str">
        <f ca="1">REFERENCIA.Unidade</f>
        <v>-</v>
      </c>
      <c r="T28" s="124">
        <f ca="1">OFFSET(CÁLCULO!H$15,ROW($T28)-ROW(T$15),0)</f>
        <v>0</v>
      </c>
      <c r="U28" s="125"/>
      <c r="V28" s="126" t="s">
        <v>156</v>
      </c>
      <c r="W28" s="124">
        <f ca="1">IF($C28="S",ROUND(IF(TIPOORCAMENTO="Proposto",ORÇAMENTO.CustoUnitario*(1+$AH28),ORÇAMENTO.PrecoUnitarioLicitado),15-13*$AF$10),0)</f>
        <v>0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12539.72</v>
      </c>
      <c r="Y28" s="128" t="s">
        <v>245</v>
      </c>
      <c r="Z28" t="str">
        <f ca="1">IF(AND($C28="S",$X28&gt;0),IF(ISBLANK($Y28),"RA",LEFT($Y28,2)),"")</f>
        <v/>
      </c>
      <c r="AA28" s="129">
        <f ca="1">IF($C28="S",IF($Z28="CP",$X28,IF($Z28="RA",(($X28)*QCI!$AA$3),0)),SomaAgrup)</f>
        <v>12539.72</v>
      </c>
      <c r="AB28" s="130">
        <f ca="1">IF($C28="S",IF($Z28="OU",ROUND($X28,2),0),SomaAgrup)</f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>
        <f ca="1">IF(C28&lt;=CRONO.NivelExibicao,MAX($AD$15:OFFSET(AD28,-1,0))+IF($C28&lt;&gt;1,1,MAX(1,COUNTIF(QCI!$A$13:$A$24,OFFSET($E28,-1,0)))),"")</f>
        <v>5</v>
      </c>
      <c r="AE28" s="7" t="b">
        <f ca="1">IF(AND($C28="S",ORÇAMENTO.CodBarra&lt;&gt;""),IF(ORÇAMENTO.Fonte="",ORÇAMENTO.CodBarra,CONCATENATE(ORÇAMENTO.Fonte," ",ORÇAMENTO.CodBarra)))</f>
        <v>0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(Sem Código)</v>
      </c>
      <c r="AG28" s="498">
        <f ca="1">ROUND(IF(DESONERACAO="sim",REFERENCIA.Desonerado,REFERENCIA.NaoDesonerado),2)</f>
        <v>0</v>
      </c>
      <c r="AH28" s="499">
        <f ca="1">ROUND(IF(ISNUMBER(ORÇAMENTO.OpcaoBDI),ORÇAMENTO.OpcaoBDI,IF(LEFT(ORÇAMENTO.OpcaoBDI,3)="BDI",HLOOKUP(ORÇAMENTO.OpcaoBDI,$F$4:$H$5,2,FALSE),0)),15-11*$AF$9)</f>
        <v>0.20349999999999999</v>
      </c>
      <c r="AJ28" s="501"/>
      <c r="AL28" s="527"/>
      <c r="AM28" s="381">
        <f t="shared" ca="1" si="0"/>
        <v>12539.72</v>
      </c>
      <c r="AN28" s="566">
        <f ca="1">ROUND(ORÇAMENTO.CustoUnitario*(1+$AH28),2)</f>
        <v>0</v>
      </c>
    </row>
    <row r="29" spans="1:40" ht="63.75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2</v>
      </c>
      <c r="F29">
        <f t="shared" ca="1" si="5"/>
        <v>1</v>
      </c>
      <c r="G29">
        <f t="shared" ca="1" si="6"/>
        <v>0</v>
      </c>
      <c r="H29">
        <f t="shared" ca="1" si="7"/>
        <v>0</v>
      </c>
      <c r="I29">
        <f t="shared" ca="1" si="8"/>
        <v>1</v>
      </c>
      <c r="J29">
        <f ca="1">IF(OR($C29="S",$C29=0),0,MATCH(0,OFFSET($D29,1,$C29,ROW($C$165)-ROW($C29)),0))</f>
        <v>0</v>
      </c>
      <c r="K29">
        <f ca="1">IF(OR($C29="S",$C29=0),0,MATCH(OFFSET($D29,0,$C29)+IF($C29&lt;&gt;1,1,COUNTIF(QCI!$A$13:$A$24,ORÇAMENTO!E29)),OFFSET($D29,1,$C29,ROW($C$165)-ROW($C29)),0))</f>
        <v>0</v>
      </c>
      <c r="L29" s="116" t="str">
        <f t="shared" ca="1" si="9"/>
        <v>F</v>
      </c>
      <c r="M29" s="117" t="s">
        <v>199</v>
      </c>
      <c r="N29" s="118" t="str">
        <f t="shared" ca="1" si="10"/>
        <v>Serviço</v>
      </c>
      <c r="O29" s="119" t="str">
        <f t="shared" ca="1" si="11"/>
        <v>2.1.1.</v>
      </c>
      <c r="P29" s="120" t="s">
        <v>247</v>
      </c>
      <c r="Q29" s="121" t="s">
        <v>484</v>
      </c>
      <c r="R29" s="122" t="str">
        <f ca="1">IF($C29="S",REFERENCIA.Descricao,"(digite a descrição aqui)")</f>
        <v>ESCAVAÇÃO MECANIZADA DE VALA COM PROF. ATÉ 1,5 M (MÉDIA MONTANTE E JUSANTE/UMA COMPOSIÇÃO POR TRECHO), RETROESCAV. (0,26 M3), LARG. MENOR QUE 0,8 M, EM SOLO DE 1A CATEGORIA, EM LOCAIS COM ALTO NÍVEL DE INTERFERÊNCIA. AF_09/2024</v>
      </c>
      <c r="S29" s="123" t="str">
        <f ca="1">REFERENCIA.Unidade</f>
        <v>M3</v>
      </c>
      <c r="T29" s="124">
        <f ca="1">OFFSET(CÁLCULO!H$15,ROW($T29)-ROW(T$15),0)</f>
        <v>24.3</v>
      </c>
      <c r="U29" s="125">
        <f t="shared" ca="1" si="32"/>
        <v>16.87</v>
      </c>
      <c r="V29" s="126" t="s">
        <v>156</v>
      </c>
      <c r="W29" s="124">
        <f ca="1">IF($C29="S",ROUND(IF(TIPOORCAMENTO="Proposto",ORÇAMENTO.CustoUnitario*(1+$AH29),ORÇAMENTO.PrecoUnitarioLicitado),15-13*$AF$10),0)</f>
        <v>20.3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493.29</v>
      </c>
      <c r="Y29" s="128" t="s">
        <v>245</v>
      </c>
      <c r="Z29" t="str">
        <f t="shared" ca="1" si="12"/>
        <v>RA</v>
      </c>
      <c r="AA29" s="129">
        <f ca="1">IF($C29="S",IF($Z29="CP",$X29,IF($Z29="RA",(($X29)*QCI!$AA$3),0)),SomaAgrup)</f>
        <v>493.29</v>
      </c>
      <c r="AB29" s="130">
        <f t="shared" ca="1" si="13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SINAPI 90099</v>
      </c>
      <c r="AF29" s="13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9679</v>
      </c>
      <c r="AG29" s="498">
        <f ca="1">ROUND(IF(DESONERACAO="sim",REFERENCIA.Desonerado,REFERENCIA.NaoDesonerado),2)</f>
        <v>16.87</v>
      </c>
      <c r="AH29" s="499">
        <f t="shared" ca="1" si="14"/>
        <v>0.20349999999999999</v>
      </c>
      <c r="AJ29" s="501">
        <f>(0.9*0.9*1.5)*20</f>
        <v>24.3</v>
      </c>
      <c r="AL29" s="527"/>
      <c r="AM29" s="381">
        <f t="shared" ca="1" si="0"/>
        <v>493.29</v>
      </c>
      <c r="AN29" s="566">
        <f t="shared" ca="1" si="15"/>
        <v>20.3</v>
      </c>
    </row>
    <row r="30" spans="1:40" ht="25.5" x14ac:dyDescent="0.2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IF($C30=1,OFFSET(E30,-1,0)+MAX(1,COUNTIF(QCI!$A$13:$A$24,OFFSET(ORÇAMENTO!E30,-1,0))),OFFSET(E30,-1,0))</f>
        <v>2</v>
      </c>
      <c r="F30">
        <f t="shared" ca="1" si="5"/>
        <v>1</v>
      </c>
      <c r="G30">
        <f t="shared" ca="1" si="6"/>
        <v>0</v>
      </c>
      <c r="H30">
        <f t="shared" ca="1" si="7"/>
        <v>0</v>
      </c>
      <c r="I30">
        <f t="shared" ca="1" si="8"/>
        <v>2</v>
      </c>
      <c r="J30">
        <f ca="1">IF(OR($C30="S",$C30=0),0,MATCH(0,OFFSET($D30,1,$C30,ROW($C$165)-ROW($C30)),0))</f>
        <v>0</v>
      </c>
      <c r="K30">
        <f ca="1">IF(OR($C30="S",$C30=0),0,MATCH(OFFSET($D30,0,$C30)+IF($C30&lt;&gt;1,1,COUNTIF(QCI!$A$13:$A$24,ORÇAMENTO!E30)),OFFSET($D30,1,$C30,ROW($C$165)-ROW($C30)),0))</f>
        <v>0</v>
      </c>
      <c r="L30" s="116" t="str">
        <f t="shared" ca="1" si="9"/>
        <v>F</v>
      </c>
      <c r="M30" s="117" t="s">
        <v>199</v>
      </c>
      <c r="N30" s="118" t="str">
        <f t="shared" ca="1" si="10"/>
        <v>Serviço</v>
      </c>
      <c r="O30" s="119" t="str">
        <f t="shared" ca="1" si="11"/>
        <v>2.1.2.</v>
      </c>
      <c r="P30" s="120" t="s">
        <v>247</v>
      </c>
      <c r="Q30" s="121" t="s">
        <v>459</v>
      </c>
      <c r="R30" s="122" t="str">
        <f ca="1">IF($C30="S",REFERENCIA.Descricao,"(digite a descrição aqui)")</f>
        <v>CONCRETAGEM DE SAPATA, FCK 30 MPA, COM USO DE BOMBA - LANÇAMENTO, ADENSAMENTO E ACABAMENTO. AF_01/2024</v>
      </c>
      <c r="S30" s="123" t="str">
        <f ca="1">REFERENCIA.Unidade</f>
        <v>M3</v>
      </c>
      <c r="T30" s="124">
        <f ca="1">OFFSET(CÁLCULO!H$15,ROW($T30)-ROW(T$15),0)</f>
        <v>5.76</v>
      </c>
      <c r="U30" s="125">
        <f t="shared" ca="1" si="32"/>
        <v>938.26</v>
      </c>
      <c r="V30" s="126" t="s">
        <v>156</v>
      </c>
      <c r="W30" s="124">
        <f ca="1">IF($C30="S",ROUND(IF(TIPOORCAMENTO="Proposto",ORÇAMENTO.CustoUnitario*(1+$AH30),ORÇAMENTO.PrecoUnitarioLicitado),15-13*$AF$10),0)</f>
        <v>1129.2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6504.19</v>
      </c>
      <c r="Y30" s="128" t="s">
        <v>245</v>
      </c>
      <c r="Z30" t="str">
        <f t="shared" ca="1" si="12"/>
        <v>RA</v>
      </c>
      <c r="AA30" s="129">
        <f ca="1">IF($C30="S",IF($Z30="CP",$X30,IF($Z30="RA",(($X30)*QCI!$AA$3),0)),SomaAgrup)</f>
        <v>6504.19</v>
      </c>
      <c r="AB30" s="130">
        <f t="shared" ca="1" si="13"/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SINAPI 96558</v>
      </c>
      <c r="AF30" s="13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10452</v>
      </c>
      <c r="AG30" s="498">
        <f ca="1">ROUND(IF(DESONERACAO="sim",REFERENCIA.Desonerado,REFERENCIA.NaoDesonerado),2)</f>
        <v>938.26</v>
      </c>
      <c r="AH30" s="499">
        <f t="shared" ca="1" si="14"/>
        <v>0.20349999999999999</v>
      </c>
      <c r="AJ30" s="501">
        <v>5.76</v>
      </c>
      <c r="AL30" s="527"/>
      <c r="AM30" s="381">
        <f t="shared" ca="1" si="0"/>
        <v>6504.19</v>
      </c>
      <c r="AN30" s="566">
        <f t="shared" ca="1" si="15"/>
        <v>1129.2</v>
      </c>
    </row>
    <row r="31" spans="1:40" ht="25.5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2</v>
      </c>
      <c r="F31">
        <f t="shared" ca="1" si="5"/>
        <v>1</v>
      </c>
      <c r="G31">
        <f t="shared" ca="1" si="6"/>
        <v>0</v>
      </c>
      <c r="H31">
        <f t="shared" ca="1" si="7"/>
        <v>0</v>
      </c>
      <c r="I31">
        <f t="shared" ca="1" si="8"/>
        <v>3</v>
      </c>
      <c r="J31">
        <f ca="1">IF(OR($C31="S",$C31=0),0,MATCH(0,OFFSET($D31,1,$C31,ROW($C$165)-ROW($C31)),0))</f>
        <v>0</v>
      </c>
      <c r="K31">
        <f ca="1">IF(OR($C31="S",$C31=0),0,MATCH(OFFSET($D31,0,$C31)+IF($C31&lt;&gt;1,1,COUNTIF(QCI!$A$13:$A$24,ORÇAMENTO!E31)),OFFSET($D31,1,$C31,ROW($C$165)-ROW($C31)),0))</f>
        <v>0</v>
      </c>
      <c r="L31" s="116" t="str">
        <f t="shared" ca="1" si="9"/>
        <v>F</v>
      </c>
      <c r="M31" s="117" t="s">
        <v>199</v>
      </c>
      <c r="N31" s="118" t="str">
        <f t="shared" ca="1" si="10"/>
        <v>Serviço</v>
      </c>
      <c r="O31" s="119" t="str">
        <f t="shared" ca="1" si="11"/>
        <v>2.1.3.</v>
      </c>
      <c r="P31" s="120" t="s">
        <v>247</v>
      </c>
      <c r="Q31" s="121" t="s">
        <v>485</v>
      </c>
      <c r="R31" s="122" t="str">
        <f ca="1">IF($C31="S",REFERENCIA.Descricao,"(digite a descrição aqui)")</f>
        <v>ARMAÇÃO DE BLOCO UTILIZANDO AÇO CA-50 DE 10 MM - MONTAGEM. AF_01/2024</v>
      </c>
      <c r="S31" s="123" t="str">
        <f ca="1">REFERENCIA.Unidade</f>
        <v>KG</v>
      </c>
      <c r="T31" s="124">
        <f ca="1">OFFSET(CÁLCULO!H$15,ROW($T31)-ROW(T$15),0)</f>
        <v>266.5</v>
      </c>
      <c r="U31" s="125">
        <f t="shared" ca="1" si="32"/>
        <v>14.95</v>
      </c>
      <c r="V31" s="126" t="s">
        <v>156</v>
      </c>
      <c r="W31" s="124">
        <f ca="1">IF($C31="S",ROUND(IF(TIPOORCAMENTO="Proposto",ORÇAMENTO.CustoUnitario*(1+$AH31),ORÇAMENTO.PrecoUnitarioLicitado),15-13*$AF$10),0)</f>
        <v>17.989999999999998</v>
      </c>
      <c r="X31" s="127">
        <f ca="1">IF($C31="S",IF(Import.TipoArredondamento&lt;&gt;"TransfereGOV",VTOTAL1,SUM(OFFSET(CÁLCULO!$AA$15,ROW($X31)-ROW($X$15),1):OFFSET(CÁLCULO!$AL$15,ROW($X31)-ROW($X$15),-1))),IF($C31=0,0,ROUND(SomaAgrup,15-13*$AF$11)))</f>
        <v>4794.34</v>
      </c>
      <c r="Y31" s="128" t="s">
        <v>245</v>
      </c>
      <c r="Z31" t="str">
        <f t="shared" ca="1" si="12"/>
        <v>RA</v>
      </c>
      <c r="AA31" s="129">
        <f ca="1">IF($C31="S",IF($Z31="CP",$X31,IF($Z31="RA",(($X31)*QCI!$AA$3),0)),SomaAgrup)</f>
        <v>4794.34</v>
      </c>
      <c r="AB31" s="130">
        <f t="shared" ca="1" si="13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SINAPI 96546</v>
      </c>
      <c r="AF31" s="13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10437</v>
      </c>
      <c r="AG31" s="498">
        <f ca="1">ROUND(IF(DESONERACAO="sim",REFERENCIA.Desonerado,REFERENCIA.NaoDesonerado),2)</f>
        <v>14.95</v>
      </c>
      <c r="AH31" s="499">
        <f t="shared" ca="1" si="14"/>
        <v>0.20349999999999999</v>
      </c>
      <c r="AJ31" s="501">
        <v>266.5</v>
      </c>
      <c r="AL31" s="527"/>
      <c r="AM31" s="381">
        <f t="shared" ca="1" si="0"/>
        <v>4794.34</v>
      </c>
      <c r="AN31" s="566">
        <f t="shared" ca="1" si="15"/>
        <v>17.989999999999998</v>
      </c>
    </row>
    <row r="32" spans="1:40" ht="25.5" x14ac:dyDescent="0.2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2</v>
      </c>
      <c r="F32">
        <f t="shared" ca="1" si="5"/>
        <v>1</v>
      </c>
      <c r="G32">
        <f t="shared" ca="1" si="6"/>
        <v>0</v>
      </c>
      <c r="H32">
        <f t="shared" ca="1" si="7"/>
        <v>0</v>
      </c>
      <c r="I32">
        <f t="shared" ca="1" si="8"/>
        <v>4</v>
      </c>
      <c r="J32">
        <f ca="1">IF(OR($C32="S",$C32=0),0,MATCH(0,OFFSET($D32,1,$C32,ROW($C$165)-ROW($C32)),0))</f>
        <v>0</v>
      </c>
      <c r="K32">
        <f ca="1">IF(OR($C32="S",$C32=0),0,MATCH(OFFSET($D32,0,$C32)+IF($C32&lt;&gt;1,1,COUNTIF(QCI!$A$13:$A$24,ORÇAMENTO!E32)),OFFSET($D32,1,$C32,ROW($C$165)-ROW($C32)),0))</f>
        <v>0</v>
      </c>
      <c r="L32" s="116" t="str">
        <f t="shared" ca="1" si="9"/>
        <v>F</v>
      </c>
      <c r="M32" s="117" t="s">
        <v>199</v>
      </c>
      <c r="N32" s="118" t="str">
        <f t="shared" ca="1" si="10"/>
        <v>Serviço</v>
      </c>
      <c r="O32" s="119" t="str">
        <f t="shared" ca="1" si="11"/>
        <v>2.1.4.</v>
      </c>
      <c r="P32" s="120" t="s">
        <v>247</v>
      </c>
      <c r="Q32" s="121" t="s">
        <v>486</v>
      </c>
      <c r="R32" s="122" t="str">
        <f ca="1">IF($C32="S",REFERENCIA.Descricao,"(digite a descrição aqui)")</f>
        <v>REATERRO MANUAL DE VALAS, COM COMPACTADOR DE SOLOS DE PERCUSSÃO. AF_08/2023</v>
      </c>
      <c r="S32" s="123" t="str">
        <f ca="1">REFERENCIA.Unidade</f>
        <v>M3</v>
      </c>
      <c r="T32" s="124">
        <f ca="1">OFFSET(CÁLCULO!H$15,ROW($T32)-ROW(T$15),0)</f>
        <v>18.54</v>
      </c>
      <c r="U32" s="125">
        <f t="shared" ca="1" si="32"/>
        <v>33.520000000000003</v>
      </c>
      <c r="V32" s="126" t="s">
        <v>156</v>
      </c>
      <c r="W32" s="124">
        <f ca="1">IF($C32="S",ROUND(IF(TIPOORCAMENTO="Proposto",ORÇAMENTO.CustoUnitario*(1+$AH32),ORÇAMENTO.PrecoUnitarioLicitado),15-13*$AF$10),0)</f>
        <v>40.340000000000003</v>
      </c>
      <c r="X32" s="127">
        <f ca="1">IF($C32="S",IF(Import.TipoArredondamento&lt;&gt;"TransfereGOV",VTOTAL1,SUM(OFFSET(CÁLCULO!$AA$15,ROW($X32)-ROW($X$15),1):OFFSET(CÁLCULO!$AL$15,ROW($X32)-ROW($X$15),-1))),IF($C32=0,0,ROUND(SomaAgrup,15-13*$AF$11)))</f>
        <v>747.9</v>
      </c>
      <c r="Y32" s="128" t="s">
        <v>245</v>
      </c>
      <c r="Z32" t="str">
        <f t="shared" ca="1" si="12"/>
        <v>RA</v>
      </c>
      <c r="AA32" s="129">
        <f ca="1">IF($C32="S",IF($Z32="CP",$X32,IF($Z32="RA",(($X32)*QCI!$AA$3),0)),SomaAgrup)</f>
        <v>747.9</v>
      </c>
      <c r="AB32" s="130">
        <f t="shared" ca="1" si="13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" t="str">
        <f ca="1">IF(AND($C32="S",ORÇAMENTO.CodBarra&lt;&gt;""),IF(ORÇAMENTO.Fonte="",ORÇAMENTO.CodBarra,CONCATENATE(ORÇAMENTO.Fonte," ",ORÇAMENTO.CodBarra)))</f>
        <v>SINAPI 93382</v>
      </c>
      <c r="AF32" s="13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6927</v>
      </c>
      <c r="AG32" s="498">
        <f ca="1">ROUND(IF(DESONERACAO="sim",REFERENCIA.Desonerado,REFERENCIA.NaoDesonerado),2)</f>
        <v>33.520000000000003</v>
      </c>
      <c r="AH32" s="499">
        <f t="shared" ca="1" si="14"/>
        <v>0.20349999999999999</v>
      </c>
      <c r="AJ32" s="501">
        <f>AJ29-AJ30</f>
        <v>18.54</v>
      </c>
      <c r="AL32" s="527"/>
      <c r="AM32" s="381">
        <f t="shared" ca="1" si="0"/>
        <v>747.9</v>
      </c>
      <c r="AN32" s="566">
        <f t="shared" ca="1" si="15"/>
        <v>40.340000000000003</v>
      </c>
    </row>
    <row r="33" spans="1:40" x14ac:dyDescent="0.2">
      <c r="A33">
        <f t="shared" si="1"/>
        <v>2</v>
      </c>
      <c r="B33">
        <f t="shared" ca="1" si="2"/>
        <v>2</v>
      </c>
      <c r="C33">
        <f t="shared" ca="1" si="3"/>
        <v>2</v>
      </c>
      <c r="D33">
        <f t="shared" ca="1" si="4"/>
        <v>7</v>
      </c>
      <c r="E33">
        <f ca="1">IF($C33=1,OFFSET(E33,-1,0)+MAX(1,COUNTIF(QCI!$A$13:$A$24,OFFSET(ORÇAMENTO!E33,-1,0))),OFFSET(E33,-1,0))</f>
        <v>2</v>
      </c>
      <c r="F33">
        <f t="shared" ca="1" si="5"/>
        <v>2</v>
      </c>
      <c r="G33">
        <f t="shared" ca="1" si="6"/>
        <v>0</v>
      </c>
      <c r="H33">
        <f t="shared" ca="1" si="7"/>
        <v>0</v>
      </c>
      <c r="I33">
        <f t="shared" ca="1" si="8"/>
        <v>0</v>
      </c>
      <c r="J33">
        <f ca="1">IF(OR($C33="S",$C33=0),0,MATCH(0,OFFSET($D33,1,$C33,ROW($C$165)-ROW($C33)),0))</f>
        <v>7</v>
      </c>
      <c r="K33">
        <f ca="1">IF(OR($C33="S",$C33=0),0,MATCH(OFFSET($D33,0,$C33)+IF($C33&lt;&gt;1,1,COUNTIF(QCI!$A$13:$A$24,ORÇAMENTO!E33)),OFFSET($D33,1,$C33,ROW($C$165)-ROW($C33)),0))</f>
        <v>29</v>
      </c>
      <c r="L33" s="116" t="str">
        <f t="shared" ca="1" si="9"/>
        <v>F</v>
      </c>
      <c r="M33" s="117" t="s">
        <v>196</v>
      </c>
      <c r="N33" s="118" t="str">
        <f t="shared" ca="1" si="10"/>
        <v>Nível 2</v>
      </c>
      <c r="O33" s="119" t="str">
        <f t="shared" ca="1" si="11"/>
        <v>2.2.</v>
      </c>
      <c r="P33" s="120" t="s">
        <v>247</v>
      </c>
      <c r="Q33" s="121"/>
      <c r="R33" s="122" t="s">
        <v>566</v>
      </c>
      <c r="S33" s="123" t="str">
        <f ca="1">REFERENCIA.Unidade</f>
        <v>-</v>
      </c>
      <c r="T33" s="124">
        <f ca="1">OFFSET(CÁLCULO!H$15,ROW($T33)-ROW(T$15),0)</f>
        <v>0</v>
      </c>
      <c r="U33" s="125">
        <f t="shared" ca="1" si="32"/>
        <v>0</v>
      </c>
      <c r="V33" s="126" t="s">
        <v>156</v>
      </c>
      <c r="W33" s="124">
        <f ca="1">IF($C33="S",ROUND(IF(TIPOORCAMENTO="Proposto",ORÇAMENTO.CustoUnitario*(1+$AH33),ORÇAMENTO.PrecoUnitarioLicitado),15-13*$AF$10),0)</f>
        <v>0</v>
      </c>
      <c r="X33" s="127">
        <f ca="1">IF($C33="S",IF(Import.TipoArredondamento&lt;&gt;"TransfereGOV",VTOTAL1,SUM(OFFSET(CÁLCULO!$AA$15,ROW($X33)-ROW($X$15),1):OFFSET(CÁLCULO!$AL$15,ROW($X33)-ROW($X$15),-1))),IF($C33=0,0,ROUND(SomaAgrup,15-13*$AF$11)))</f>
        <v>17011.82</v>
      </c>
      <c r="Y33" s="128" t="s">
        <v>245</v>
      </c>
      <c r="Z33" t="str">
        <f t="shared" ca="1" si="12"/>
        <v/>
      </c>
      <c r="AA33" s="129">
        <f ca="1">IF($C33="S",IF($Z33="CP",$X33,IF($Z33="RA",(($X33)*QCI!$AA$3),0)),SomaAgrup)</f>
        <v>17011.82</v>
      </c>
      <c r="AB33" s="130">
        <f t="shared" ca="1" si="13"/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>
        <f ca="1">IF(C33&lt;=CRONO.NivelExibicao,MAX($AD$15:OFFSET(AD33,-1,0))+IF($C33&lt;&gt;1,1,MAX(1,COUNTIF(QCI!$A$13:$A$24,OFFSET($E33,-1,0)))),"")</f>
        <v>6</v>
      </c>
      <c r="AE33" s="7" t="b">
        <f ca="1">IF(AND($C33="S",ORÇAMENTO.CodBarra&lt;&gt;""),IF(ORÇAMENTO.Fonte="",ORÇAMENTO.CodBarra,CONCATENATE(ORÇAMENTO.Fonte," ",ORÇAMENTO.CodBarra)))</f>
        <v>0</v>
      </c>
      <c r="AF33" s="13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(Sem Código)</v>
      </c>
      <c r="AG33" s="498">
        <f ca="1">ROUND(IF(DESONERACAO="sim",REFERENCIA.Desonerado,REFERENCIA.NaoDesonerado),2)</f>
        <v>0</v>
      </c>
      <c r="AH33" s="499">
        <f t="shared" ca="1" si="14"/>
        <v>0.20349999999999999</v>
      </c>
      <c r="AJ33" s="501"/>
      <c r="AL33" s="527"/>
      <c r="AM33" s="381">
        <f t="shared" ca="1" si="0"/>
        <v>17011.82</v>
      </c>
      <c r="AN33" s="566">
        <f t="shared" ca="1" si="15"/>
        <v>0</v>
      </c>
    </row>
    <row r="34" spans="1:40" ht="63.75" x14ac:dyDescent="0.2">
      <c r="A34" t="str">
        <f t="shared" si="1"/>
        <v>S</v>
      </c>
      <c r="B34">
        <f t="shared" ca="1" si="2"/>
        <v>2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IF($C34=1,OFFSET(E34,-1,0)+MAX(1,COUNTIF(QCI!$A$13:$A$24,OFFSET(ORÇAMENTO!E34,-1,0))),OFFSET(E34,-1,0))</f>
        <v>2</v>
      </c>
      <c r="F34">
        <f t="shared" ca="1" si="5"/>
        <v>2</v>
      </c>
      <c r="G34">
        <f t="shared" ca="1" si="6"/>
        <v>0</v>
      </c>
      <c r="H34">
        <f t="shared" ca="1" si="7"/>
        <v>0</v>
      </c>
      <c r="I34">
        <f t="shared" ca="1" si="8"/>
        <v>1</v>
      </c>
      <c r="J34">
        <f ca="1">IF(OR($C34="S",$C34=0),0,MATCH(0,OFFSET($D34,1,$C34,ROW($C$165)-ROW($C34)),0))</f>
        <v>0</v>
      </c>
      <c r="K34">
        <f ca="1">IF(OR($C34="S",$C34=0),0,MATCH(OFFSET($D34,0,$C34)+IF($C34&lt;&gt;1,1,COUNTIF(QCI!$A$13:$A$24,ORÇAMENTO!E34)),OFFSET($D34,1,$C34,ROW($C$165)-ROW($C34)),0))</f>
        <v>0</v>
      </c>
      <c r="L34" s="116" t="str">
        <f t="shared" ca="1" si="9"/>
        <v>F</v>
      </c>
      <c r="M34" s="117" t="s">
        <v>199</v>
      </c>
      <c r="N34" s="118" t="str">
        <f t="shared" ca="1" si="10"/>
        <v>Serviço</v>
      </c>
      <c r="O34" s="119" t="str">
        <f t="shared" ca="1" si="11"/>
        <v>2.2.1.</v>
      </c>
      <c r="P34" s="120" t="s">
        <v>247</v>
      </c>
      <c r="Q34" s="121" t="s">
        <v>484</v>
      </c>
      <c r="R34" s="122" t="str">
        <f ca="1">IF($C34="S",REFERENCIA.Descricao,"(digite a descrição aqui)")</f>
        <v>ESCAVAÇÃO MECANIZADA DE VALA COM PROF. ATÉ 1,5 M (MÉDIA MONTANTE E JUSANTE/UMA COMPOSIÇÃO POR TRECHO), RETROESCAV. (0,26 M3), LARG. MENOR QUE 0,8 M, EM SOLO DE 1A CATEGORIA, EM LOCAIS COM ALTO NÍVEL DE INTERFERÊNCIA. AF_09/2024</v>
      </c>
      <c r="S34" s="123" t="str">
        <f ca="1">REFERENCIA.Unidade</f>
        <v>M3</v>
      </c>
      <c r="T34" s="124">
        <f ca="1">OFFSET(CÁLCULO!H$15,ROW($T34)-ROW(T$15),0)</f>
        <v>5.5</v>
      </c>
      <c r="U34" s="125">
        <f t="shared" ca="1" si="32"/>
        <v>16.87</v>
      </c>
      <c r="V34" s="126" t="s">
        <v>156</v>
      </c>
      <c r="W34" s="124">
        <f ca="1">IF($C34="S",ROUND(IF(TIPOORCAMENTO="Proposto",ORÇAMENTO.CustoUnitario*(1+$AH34),ORÇAMENTO.PrecoUnitarioLicitado),15-13*$AF$10),0)</f>
        <v>20.3</v>
      </c>
      <c r="X34" s="127">
        <f ca="1">IF($C34="S",IF(Import.TipoArredondamento&lt;&gt;"TransfereGOV",VTOTAL1,SUM(OFFSET(CÁLCULO!$AA$15,ROW($X34)-ROW($X$15),1):OFFSET(CÁLCULO!$AL$15,ROW($X34)-ROW($X$15),-1))),IF($C34=0,0,ROUND(SomaAgrup,15-13*$AF$11)))</f>
        <v>111.65</v>
      </c>
      <c r="Y34" s="128" t="s">
        <v>245</v>
      </c>
      <c r="Z34" t="str">
        <f t="shared" ca="1" si="12"/>
        <v>RA</v>
      </c>
      <c r="AA34" s="129">
        <f ca="1">IF($C34="S",IF($Z34="CP",$X34,IF($Z34="RA",(($X34)*QCI!$AA$3),0)),SomaAgrup)</f>
        <v>111.65</v>
      </c>
      <c r="AB34" s="130">
        <f t="shared" ca="1" si="13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" t="str">
        <f ca="1">IF(AND($C34="S",ORÇAMENTO.CodBarra&lt;&gt;""),IF(ORÇAMENTO.Fonte="",ORÇAMENTO.CodBarra,CONCATENATE(ORÇAMENTO.Fonte," ",ORÇAMENTO.CodBarra)))</f>
        <v>SINAPI 90099</v>
      </c>
      <c r="AF34" s="13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9679</v>
      </c>
      <c r="AG34" s="498">
        <f ca="1">ROUND(IF(DESONERACAO="sim",REFERENCIA.Desonerado,REFERENCIA.NaoDesonerado),2)</f>
        <v>16.87</v>
      </c>
      <c r="AH34" s="499">
        <f t="shared" ca="1" si="14"/>
        <v>0.20349999999999999</v>
      </c>
      <c r="AJ34" s="501">
        <f>0.3*0.15*122.25</f>
        <v>5.5012499999999998</v>
      </c>
      <c r="AL34" s="527"/>
      <c r="AM34" s="381">
        <f t="shared" ca="1" si="0"/>
        <v>111.65</v>
      </c>
      <c r="AN34" s="566">
        <f t="shared" ca="1" si="15"/>
        <v>20.3</v>
      </c>
    </row>
    <row r="35" spans="1:40" ht="38.25" x14ac:dyDescent="0.2">
      <c r="A35" t="str">
        <f t="shared" si="1"/>
        <v>S</v>
      </c>
      <c r="B35">
        <f t="shared" ca="1" si="2"/>
        <v>2</v>
      </c>
      <c r="C35" t="str">
        <f t="shared" ca="1" si="3"/>
        <v>S</v>
      </c>
      <c r="D35">
        <f t="shared" ca="1" si="4"/>
        <v>0</v>
      </c>
      <c r="E35">
        <f ca="1">IF($C35=1,OFFSET(E35,-1,0)+MAX(1,COUNTIF(QCI!$A$13:$A$24,OFFSET(ORÇAMENTO!E35,-1,0))),OFFSET(E35,-1,0))</f>
        <v>2</v>
      </c>
      <c r="F35">
        <f t="shared" ca="1" si="5"/>
        <v>2</v>
      </c>
      <c r="G35">
        <f t="shared" ca="1" si="6"/>
        <v>0</v>
      </c>
      <c r="H35">
        <f t="shared" ca="1" si="7"/>
        <v>0</v>
      </c>
      <c r="I35">
        <f t="shared" ca="1" si="8"/>
        <v>2</v>
      </c>
      <c r="J35">
        <f ca="1">IF(OR($C35="S",$C35=0),0,MATCH(0,OFFSET($D35,1,$C35,ROW($C$165)-ROW($C35)),0))</f>
        <v>0</v>
      </c>
      <c r="K35">
        <f ca="1">IF(OR($C35="S",$C35=0),0,MATCH(OFFSET($D35,0,$C35)+IF($C35&lt;&gt;1,1,COUNTIF(QCI!$A$13:$A$24,ORÇAMENTO!E35)),OFFSET($D35,1,$C35,ROW($C$165)-ROW($C35)),0))</f>
        <v>0</v>
      </c>
      <c r="L35" s="116" t="str">
        <f t="shared" ca="1" si="9"/>
        <v>F</v>
      </c>
      <c r="M35" s="117" t="s">
        <v>199</v>
      </c>
      <c r="N35" s="118" t="str">
        <f t="shared" ca="1" si="10"/>
        <v>Serviço</v>
      </c>
      <c r="O35" s="119" t="str">
        <f t="shared" ca="1" si="11"/>
        <v>2.2.2.</v>
      </c>
      <c r="P35" s="120" t="s">
        <v>247</v>
      </c>
      <c r="Q35" s="121" t="s">
        <v>567</v>
      </c>
      <c r="R35" s="122" t="str">
        <f ca="1">IF($C35="S",REFERENCIA.Descricao,"(digite a descrição aqui)")</f>
        <v>CONCRETAGEM DE BLOCO DE COROAMENTO OU VIGA BALDRAME, FCK 30 MPA, COM USO DE BOMBA - LANÇAMENTO, ADENSAMENTO E ACABAMENTO. AF_01/2024</v>
      </c>
      <c r="S35" s="123" t="str">
        <f ca="1">REFERENCIA.Unidade</f>
        <v>M3</v>
      </c>
      <c r="T35" s="124">
        <f ca="1">OFFSET(CÁLCULO!H$15,ROW($T35)-ROW(T$15),0)</f>
        <v>5.5</v>
      </c>
      <c r="U35" s="125">
        <f t="shared" ca="1" si="32"/>
        <v>896.62</v>
      </c>
      <c r="V35" s="126" t="s">
        <v>156</v>
      </c>
      <c r="W35" s="124">
        <f ca="1">IF($C35="S",ROUND(IF(TIPOORCAMENTO="Proposto",ORÇAMENTO.CustoUnitario*(1+$AH35),ORÇAMENTO.PrecoUnitarioLicitado),15-13*$AF$10),0)</f>
        <v>1079.08</v>
      </c>
      <c r="X35" s="127">
        <f ca="1">IF($C35="S",IF(Import.TipoArredondamento&lt;&gt;"TransfereGOV",VTOTAL1,SUM(OFFSET(CÁLCULO!$AA$15,ROW($X35)-ROW($X$15),1):OFFSET(CÁLCULO!$AL$15,ROW($X35)-ROW($X$15),-1))),IF($C35=0,0,ROUND(SomaAgrup,15-13*$AF$11)))</f>
        <v>5934.94</v>
      </c>
      <c r="Y35" s="128" t="s">
        <v>245</v>
      </c>
      <c r="Z35" t="str">
        <f t="shared" ca="1" si="12"/>
        <v>RA</v>
      </c>
      <c r="AA35" s="129">
        <f ca="1">IF($C35="S",IF($Z35="CP",$X35,IF($Z35="RA",(($X35)*QCI!$AA$3),0)),SomaAgrup)</f>
        <v>5934.94</v>
      </c>
      <c r="AB35" s="130">
        <f t="shared" ca="1" si="13"/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SINAPI 96557</v>
      </c>
      <c r="AF35" s="13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10448</v>
      </c>
      <c r="AG35" s="498">
        <f ca="1">ROUND(IF(DESONERACAO="sim",REFERENCIA.Desonerado,REFERENCIA.NaoDesonerado),2)</f>
        <v>896.62</v>
      </c>
      <c r="AH35" s="499">
        <f t="shared" ca="1" si="14"/>
        <v>0.20349999999999999</v>
      </c>
      <c r="AJ35" s="501">
        <v>5.5</v>
      </c>
      <c r="AL35" s="527"/>
      <c r="AM35" s="381">
        <f t="shared" ca="1" si="0"/>
        <v>5934.94</v>
      </c>
      <c r="AN35" s="566">
        <f t="shared" ca="1" si="15"/>
        <v>1079.08</v>
      </c>
    </row>
    <row r="36" spans="1:40" ht="25.5" x14ac:dyDescent="0.2">
      <c r="A36" t="str">
        <f t="shared" si="1"/>
        <v>S</v>
      </c>
      <c r="B36">
        <f t="shared" ca="1" si="2"/>
        <v>2</v>
      </c>
      <c r="C36" t="str">
        <f t="shared" ca="1" si="3"/>
        <v>S</v>
      </c>
      <c r="D36">
        <f t="shared" ca="1" si="4"/>
        <v>0</v>
      </c>
      <c r="E36">
        <f ca="1">IF($C36=1,OFFSET(E36,-1,0)+MAX(1,COUNTIF(QCI!$A$13:$A$24,OFFSET(ORÇAMENTO!E36,-1,0))),OFFSET(E36,-1,0))</f>
        <v>2</v>
      </c>
      <c r="F36">
        <f t="shared" ca="1" si="5"/>
        <v>2</v>
      </c>
      <c r="G36">
        <f t="shared" ca="1" si="6"/>
        <v>0</v>
      </c>
      <c r="H36">
        <f t="shared" ca="1" si="7"/>
        <v>0</v>
      </c>
      <c r="I36">
        <f t="shared" ca="1" si="8"/>
        <v>3</v>
      </c>
      <c r="J36">
        <f ca="1">IF(OR($C36="S",$C36=0),0,MATCH(0,OFFSET($D36,1,$C36,ROW($C$165)-ROW($C36)),0))</f>
        <v>0</v>
      </c>
      <c r="K36">
        <f ca="1">IF(OR($C36="S",$C36=0),0,MATCH(OFFSET($D36,0,$C36)+IF($C36&lt;&gt;1,1,COUNTIF(QCI!$A$13:$A$24,ORÇAMENTO!E36)),OFFSET($D36,1,$C36,ROW($C$165)-ROW($C36)),0))</f>
        <v>0</v>
      </c>
      <c r="L36" s="116" t="str">
        <f t="shared" ca="1" si="9"/>
        <v>F</v>
      </c>
      <c r="M36" s="117" t="s">
        <v>199</v>
      </c>
      <c r="N36" s="118" t="str">
        <f t="shared" ca="1" si="10"/>
        <v>Serviço</v>
      </c>
      <c r="O36" s="119" t="str">
        <f t="shared" ca="1" si="11"/>
        <v>2.2.3.</v>
      </c>
      <c r="P36" s="120" t="s">
        <v>247</v>
      </c>
      <c r="Q36" s="121" t="s">
        <v>485</v>
      </c>
      <c r="R36" s="122" t="str">
        <f ca="1">IF($C36="S",REFERENCIA.Descricao,"(digite a descrição aqui)")</f>
        <v>ARMAÇÃO DE BLOCO UTILIZANDO AÇO CA-50 DE 10 MM - MONTAGEM. AF_01/2024</v>
      </c>
      <c r="S36" s="123" t="str">
        <f ca="1">REFERENCIA.Unidade</f>
        <v>KG</v>
      </c>
      <c r="T36" s="124">
        <f ca="1">OFFSET(CÁLCULO!H$15,ROW($T36)-ROW(T$15),0)</f>
        <v>301.7</v>
      </c>
      <c r="U36" s="125">
        <f t="shared" ca="1" si="32"/>
        <v>14.95</v>
      </c>
      <c r="V36" s="126" t="s">
        <v>156</v>
      </c>
      <c r="W36" s="124">
        <f ca="1">IF($C36="S",ROUND(IF(TIPOORCAMENTO="Proposto",ORÇAMENTO.CustoUnitario*(1+$AH36),ORÇAMENTO.PrecoUnitarioLicitado),15-13*$AF$10),0)</f>
        <v>17.989999999999998</v>
      </c>
      <c r="X36" s="127">
        <f ca="1">IF($C36="S",IF(Import.TipoArredondamento&lt;&gt;"TransfereGOV",VTOTAL1,SUM(OFFSET(CÁLCULO!$AA$15,ROW($X36)-ROW($X$15),1):OFFSET(CÁLCULO!$AL$15,ROW($X36)-ROW($X$15),-1))),IF($C36=0,0,ROUND(SomaAgrup,15-13*$AF$11)))</f>
        <v>5427.58</v>
      </c>
      <c r="Y36" s="128" t="s">
        <v>245</v>
      </c>
      <c r="Z36" t="str">
        <f t="shared" ca="1" si="12"/>
        <v>RA</v>
      </c>
      <c r="AA36" s="129">
        <f ca="1">IF($C36="S",IF($Z36="CP",$X36,IF($Z36="RA",(($X36)*QCI!$AA$3),0)),SomaAgrup)</f>
        <v>5427.58</v>
      </c>
      <c r="AB36" s="130">
        <f t="shared" ca="1" si="13"/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SINAPI 96546</v>
      </c>
      <c r="AF36" s="13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10437</v>
      </c>
      <c r="AG36" s="498">
        <f ca="1">ROUND(IF(DESONERACAO="sim",REFERENCIA.Desonerado,REFERENCIA.NaoDesonerado),2)</f>
        <v>14.95</v>
      </c>
      <c r="AH36" s="499">
        <f t="shared" ca="1" si="14"/>
        <v>0.20349999999999999</v>
      </c>
      <c r="AJ36" s="501">
        <v>301.7</v>
      </c>
      <c r="AL36" s="527"/>
      <c r="AM36" s="381">
        <f t="shared" ca="1" si="0"/>
        <v>5427.58</v>
      </c>
      <c r="AN36" s="566">
        <f t="shared" ca="1" si="15"/>
        <v>17.989999999999998</v>
      </c>
    </row>
    <row r="37" spans="1:40" ht="25.5" x14ac:dyDescent="0.2">
      <c r="A37" t="str">
        <f t="shared" si="1"/>
        <v>S</v>
      </c>
      <c r="B37">
        <f t="shared" ca="1" si="2"/>
        <v>2</v>
      </c>
      <c r="C37" t="str">
        <f t="shared" ca="1" si="3"/>
        <v>S</v>
      </c>
      <c r="D37">
        <f t="shared" ca="1" si="4"/>
        <v>0</v>
      </c>
      <c r="E37">
        <f ca="1">IF($C37=1,OFFSET(E37,-1,0)+MAX(1,COUNTIF(QCI!$A$13:$A$24,OFFSET(ORÇAMENTO!E37,-1,0))),OFFSET(E37,-1,0))</f>
        <v>2</v>
      </c>
      <c r="F37">
        <f t="shared" ca="1" si="5"/>
        <v>2</v>
      </c>
      <c r="G37">
        <f t="shared" ca="1" si="6"/>
        <v>0</v>
      </c>
      <c r="H37">
        <f t="shared" ca="1" si="7"/>
        <v>0</v>
      </c>
      <c r="I37">
        <f t="shared" ca="1" si="8"/>
        <v>4</v>
      </c>
      <c r="J37">
        <f ca="1">IF(OR($C37="S",$C37=0),0,MATCH(0,OFFSET($D37,1,$C37,ROW($C$165)-ROW($C37)),0))</f>
        <v>0</v>
      </c>
      <c r="K37">
        <f ca="1">IF(OR($C37="S",$C37=0),0,MATCH(OFFSET($D37,0,$C37)+IF($C37&lt;&gt;1,1,COUNTIF(QCI!$A$13:$A$24,ORÇAMENTO!E37)),OFFSET($D37,1,$C37,ROW($C$165)-ROW($C37)),0))</f>
        <v>0</v>
      </c>
      <c r="L37" s="116" t="str">
        <f t="shared" ca="1" si="9"/>
        <v>F</v>
      </c>
      <c r="M37" s="117" t="s">
        <v>199</v>
      </c>
      <c r="N37" s="118" t="str">
        <f t="shared" ca="1" si="10"/>
        <v>Serviço</v>
      </c>
      <c r="O37" s="119" t="str">
        <f t="shared" ca="1" si="11"/>
        <v>2.2.4.</v>
      </c>
      <c r="P37" s="120" t="s">
        <v>247</v>
      </c>
      <c r="Q37" s="121" t="s">
        <v>568</v>
      </c>
      <c r="R37" s="122" t="str">
        <f ca="1">IF($C37="S",REFERENCIA.Descricao,"(digite a descrição aqui)")</f>
        <v>ARMAÇÃO DE BLOCO UTILIZANDO AÇO CA-60 DE 5 MM - MONTAGEM. AF_01/2024</v>
      </c>
      <c r="S37" s="123" t="str">
        <f ca="1">REFERENCIA.Unidade</f>
        <v>KG</v>
      </c>
      <c r="T37" s="124">
        <f ca="1">OFFSET(CÁLCULO!H$15,ROW($T37)-ROW(T$15),0)</f>
        <v>141.37</v>
      </c>
      <c r="U37" s="125">
        <f t="shared" ca="1" si="32"/>
        <v>23.21</v>
      </c>
      <c r="V37" s="126" t="s">
        <v>156</v>
      </c>
      <c r="W37" s="124">
        <f ca="1">IF($C37="S",ROUND(IF(TIPOORCAMENTO="Proposto",ORÇAMENTO.CustoUnitario*(1+$AH37),ORÇAMENTO.PrecoUnitarioLicitado),15-13*$AF$10),0)</f>
        <v>27.93</v>
      </c>
      <c r="X37" s="127">
        <f ca="1">IF($C37="S",IF(Import.TipoArredondamento&lt;&gt;"TransfereGOV",VTOTAL1,SUM(OFFSET(CÁLCULO!$AA$15,ROW($X37)-ROW($X$15),1):OFFSET(CÁLCULO!$AL$15,ROW($X37)-ROW($X$15),-1))),IF($C37=0,0,ROUND(SomaAgrup,15-13*$AF$11)))</f>
        <v>3948.46</v>
      </c>
      <c r="Y37" s="128" t="s">
        <v>245</v>
      </c>
      <c r="Z37" t="str">
        <f t="shared" ca="1" si="12"/>
        <v>RA</v>
      </c>
      <c r="AA37" s="129">
        <f ca="1">IF($C37="S",IF($Z37="CP",$X37,IF($Z37="RA",(($X37)*QCI!$AA$3),0)),SomaAgrup)</f>
        <v>3948.46</v>
      </c>
      <c r="AB37" s="130">
        <f t="shared" ca="1" si="13"/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" t="str">
        <f ca="1">IF(AND($C37="S",ORÇAMENTO.CodBarra&lt;&gt;""),IF(ORÇAMENTO.Fonte="",ORÇAMENTO.CodBarra,CONCATENATE(ORÇAMENTO.Fonte," ",ORÇAMENTO.CodBarra)))</f>
        <v>SINAPI 96543</v>
      </c>
      <c r="AF37" s="13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10440</v>
      </c>
      <c r="AG37" s="498">
        <f ca="1">ROUND(IF(DESONERACAO="sim",REFERENCIA.Desonerado,REFERENCIA.NaoDesonerado),2)</f>
        <v>23.21</v>
      </c>
      <c r="AH37" s="499">
        <f t="shared" ca="1" si="14"/>
        <v>0.20349999999999999</v>
      </c>
      <c r="AJ37" s="501">
        <v>141.37</v>
      </c>
      <c r="AL37" s="527"/>
      <c r="AM37" s="381">
        <f t="shared" ca="1" si="0"/>
        <v>3948.46</v>
      </c>
      <c r="AN37" s="566">
        <f t="shared" ca="1" si="15"/>
        <v>27.93</v>
      </c>
    </row>
    <row r="38" spans="1:40" ht="38.25" x14ac:dyDescent="0.2">
      <c r="A38" t="str">
        <f>CHOOSE(1+LOG(1+2*(ORÇAMENTO.Nivel="Meta")+4*(ORÇAMENTO.Nivel="Nível 2")+8*(ORÇAMENTO.Nivel="Nível 3")+16*(ORÇAMENTO.Nivel="Nível 4")+32*(ORÇAMENTO.Nivel="Serviço"),2),0,1,2,3,4,"S")</f>
        <v>S</v>
      </c>
      <c r="B38">
        <f ca="1">IF(OR(C38="s",C38=0),OFFSET(B38,-1,0),C38)</f>
        <v>2</v>
      </c>
      <c r="C38" t="str">
        <f ca="1">IF(OFFSET(C38,-1,0)="L",1,IF(OFFSET(C38,-1,0)=1,2,IF(OR(A38="s",A38=0),"S",IF(AND(OFFSET(C38,-1,0)=2,A38=4),3,IF(AND(OR(OFFSET(C38,-1,0)="s",OFFSET(C38,-1,0)=0),A38&lt;&gt;"s",A38&gt;OFFSET(B38,-1,0)),OFFSET(B38,-1,0),A38)))))</f>
        <v>S</v>
      </c>
      <c r="D38">
        <f ca="1">IF(OR(C38="S",C38=0),0,IF(ISERROR(K38),J38,SMALL(J38:K38,1)))</f>
        <v>0</v>
      </c>
      <c r="E38">
        <f ca="1">IF($C38=1,OFFSET(E38,-1,0)+MAX(1,COUNTIF(QCI!$A$13:$A$24,OFFSET(ORÇAMENTO!E38,-1,0))),OFFSET(E38,-1,0))</f>
        <v>2</v>
      </c>
      <c r="F38">
        <f ca="1">IF($C38=1,0,IF($C38=2,OFFSET(F38,-1,0)+1,OFFSET(F38,-1,0)))</f>
        <v>2</v>
      </c>
      <c r="G38">
        <f ca="1">IF(AND($C38&lt;=2,$C38&lt;&gt;0),0,IF($C38=3,OFFSET(G38,-1,0)+1,OFFSET(G38,-1,0)))</f>
        <v>0</v>
      </c>
      <c r="H38">
        <f ca="1">IF(AND($C38&lt;=3,$C38&lt;&gt;0),0,IF($C38=4,OFFSET(H38,-1,0)+1,OFFSET(H38,-1,0)))</f>
        <v>0</v>
      </c>
      <c r="I38">
        <f ca="1">IF(AND($C38&lt;=4,$C38&lt;&gt;0),0,IF(AND($C38="S",$X38&gt;0),OFFSET(I38,-1,0)+1,OFFSET(I38,-1,0)))</f>
        <v>5</v>
      </c>
      <c r="J38">
        <f ca="1">IF(OR($C38="S",$C38=0),0,MATCH(0,OFFSET($D38,1,$C38,ROW($C$165)-ROW($C38)),0))</f>
        <v>0</v>
      </c>
      <c r="K38">
        <f ca="1">IF(OR($C38="S",$C38=0),0,MATCH(OFFSET($D38,0,$C38)+IF($C38&lt;&gt;1,1,COUNTIF(QCI!$A$13:$A$24,ORÇAMENTO!E38)),OFFSET($D38,1,$C38,ROW($C$165)-ROW($C38)),0))</f>
        <v>0</v>
      </c>
      <c r="L38" s="116" t="str">
        <f ca="1">IF(OR($X38&gt;0,$C38=1,$C38=2,$C38=3,$C38=4),"F","")</f>
        <v>F</v>
      </c>
      <c r="M38" s="117" t="s">
        <v>199</v>
      </c>
      <c r="N38" s="118" t="str">
        <f ca="1">CHOOSE(1+LOG(1+2*(C38=1)+4*(C38=2)+8*(C38=3)+16*(C38=4)+32*(C38="S"),2),"","Meta","Nível 2","Nível 3","Nível 4","Serviço")</f>
        <v>Serviço</v>
      </c>
      <c r="O38" s="119" t="str">
        <f ca="1">IF(OR($C38=0,$L38=""),"-",CONCATENATE(E38&amp;".",IF(AND($A$5&gt;=2,$C38&gt;=2),F38&amp;".",""),IF(AND($A$5&gt;=3,$C38&gt;=3),G38&amp;".",""),IF(AND($A$5&gt;=4,$C38&gt;=4),H38&amp;".",""),IF($C38="S",I38&amp;".","")))</f>
        <v>2.2.5.</v>
      </c>
      <c r="P38" s="120" t="s">
        <v>449</v>
      </c>
      <c r="Q38" s="121" t="s">
        <v>571</v>
      </c>
      <c r="R38" s="122" t="str">
        <f ca="1">IF($C38="S",REFERENCIA.Descricao,"(digite a descrição aqui)")</f>
        <v>CHAPA/PAINEL DE MADEIRA COMPENSADA PLASTIFICADA (MADEIRITE PLASTIFICADO) PARA FORMA DE CONCRETO, DE 2200 X 1100 MM, E = 6 MM</v>
      </c>
      <c r="S38" s="123" t="str">
        <f ca="1">REFERENCIA.Unidade</f>
        <v>M2</v>
      </c>
      <c r="T38" s="124">
        <f ca="1">OFFSET(CÁLCULO!H$15,ROW($T38)-ROW(T$15),0)</f>
        <v>18.8</v>
      </c>
      <c r="U38" s="125">
        <f t="shared" ca="1" si="32"/>
        <v>38.020000000000003</v>
      </c>
      <c r="V38" s="126" t="s">
        <v>156</v>
      </c>
      <c r="W38" s="124">
        <f ca="1">IF($C38="S",ROUND(IF(TIPOORCAMENTO="Proposto",ORÇAMENTO.CustoUnitario*(1+$AH38),ORÇAMENTO.PrecoUnitarioLicitado),15-13*$AF$10),0)</f>
        <v>45.76</v>
      </c>
      <c r="X38" s="127">
        <f ca="1">IF($C38="S",IF(Import.TipoArredondamento&lt;&gt;"TransfereGOV",VTOTAL1,SUM(OFFSET(CÁLCULO!$AA$15,ROW($X38)-ROW($X$15),1):OFFSET(CÁLCULO!$AL$15,ROW($X38)-ROW($X$15),-1))),IF($C38=0,0,ROUND(SomaAgrup,15-13*$AF$11)))</f>
        <v>860.29</v>
      </c>
      <c r="Y38" s="128" t="s">
        <v>245</v>
      </c>
      <c r="Z38" t="str">
        <f ca="1">IF(AND($C38="S",$X38&gt;0),IF(ISBLANK($Y38),"RA",LEFT($Y38,2)),"")</f>
        <v>RA</v>
      </c>
      <c r="AA38" s="129">
        <f ca="1">IF($C38="S",IF($Z38="CP",$X38,IF($Z38="RA",(($X38)*QCI!$AA$3),0)),SomaAgrup)</f>
        <v>860.29</v>
      </c>
      <c r="AB38" s="130">
        <f ca="1">IF($C38="S",IF($Z38="OU",ROUND($X38,2),0),SomaAgrup)</f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str">
        <f ca="1">IF(AND($C38="S",ORÇAMENTO.CodBarra&lt;&gt;""),IF(ORÇAMENTO.Fonte="",ORÇAMENTO.CodBarra,CONCATENATE(ORÇAMENTO.Fonte," ",ORÇAMENTO.CodBarra)))</f>
        <v>SINAPI-I 43679</v>
      </c>
      <c r="AF38" s="13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1124</v>
      </c>
      <c r="AG38" s="498">
        <f ca="1">ROUND(IF(DESONERACAO="sim",REFERENCIA.Desonerado,REFERENCIA.NaoDesonerado),2)</f>
        <v>38.020000000000003</v>
      </c>
      <c r="AH38" s="499">
        <f ca="1">ROUND(IF(ISNUMBER(ORÇAMENTO.OpcaoBDI),ORÇAMENTO.OpcaoBDI,IF(LEFT(ORÇAMENTO.OpcaoBDI,3)="BDI",HLOOKUP(ORÇAMENTO.OpcaoBDI,$F$4:$H$5,2,FALSE),0)),15-11*$AF$9)</f>
        <v>0.20349999999999999</v>
      </c>
      <c r="AJ38" s="501">
        <v>18.8</v>
      </c>
      <c r="AL38" s="527"/>
      <c r="AM38" s="381">
        <f t="shared" ca="1" si="0"/>
        <v>860.29</v>
      </c>
      <c r="AN38" s="566">
        <f ca="1">ROUND(ORÇAMENTO.CustoUnitario*(1+$AH38),2)</f>
        <v>45.76</v>
      </c>
    </row>
    <row r="39" spans="1:40" ht="25.5" x14ac:dyDescent="0.2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2</v>
      </c>
      <c r="F39">
        <f t="shared" ca="1" si="5"/>
        <v>2</v>
      </c>
      <c r="G39">
        <f t="shared" ca="1" si="6"/>
        <v>0</v>
      </c>
      <c r="H39">
        <f t="shared" ca="1" si="7"/>
        <v>0</v>
      </c>
      <c r="I39">
        <f t="shared" ca="1" si="8"/>
        <v>6</v>
      </c>
      <c r="J39">
        <f ca="1">IF(OR($C39="S",$C39=0),0,MATCH(0,OFFSET($D39,1,$C39,ROW($C$165)-ROW($C39)),0))</f>
        <v>0</v>
      </c>
      <c r="K39">
        <f ca="1">IF(OR($C39="S",$C39=0),0,MATCH(OFFSET($D39,0,$C39)+IF($C39&lt;&gt;1,1,COUNTIF(QCI!$A$13:$A$24,ORÇAMENTO!E39)),OFFSET($D39,1,$C39,ROW($C$165)-ROW($C39)),0))</f>
        <v>0</v>
      </c>
      <c r="L39" s="116" t="str">
        <f t="shared" ca="1" si="9"/>
        <v>F</v>
      </c>
      <c r="M39" s="117" t="s">
        <v>199</v>
      </c>
      <c r="N39" s="118" t="str">
        <f t="shared" ca="1" si="10"/>
        <v>Serviço</v>
      </c>
      <c r="O39" s="119" t="str">
        <f t="shared" ca="1" si="11"/>
        <v>2.2.6.</v>
      </c>
      <c r="P39" s="120" t="s">
        <v>247</v>
      </c>
      <c r="Q39" s="121" t="s">
        <v>528</v>
      </c>
      <c r="R39" s="122" t="str">
        <f ca="1">IF($C39="S",REFERENCIA.Descricao,"(digite a descrição aqui)")</f>
        <v>IMPERMEABILIZAÇÃO DE SUPERFÍCIE COM EMULSÃO ASFÁLTICA, 2 DEMÃOS. AF_09/2023</v>
      </c>
      <c r="S39" s="123" t="str">
        <f ca="1">REFERENCIA.Unidade</f>
        <v>M2</v>
      </c>
      <c r="T39" s="124">
        <f ca="1">OFFSET(CÁLCULO!H$15,ROW($T39)-ROW(T$15),0)</f>
        <v>12.12</v>
      </c>
      <c r="U39" s="125">
        <f t="shared" ca="1" si="32"/>
        <v>49.97</v>
      </c>
      <c r="V39" s="126" t="s">
        <v>156</v>
      </c>
      <c r="W39" s="124">
        <f ca="1">IF($C39="S",ROUND(IF(TIPOORCAMENTO="Proposto",ORÇAMENTO.CustoUnitario*(1+$AH39),ORÇAMENTO.PrecoUnitarioLicitado),15-13*$AF$10),0)</f>
        <v>60.14</v>
      </c>
      <c r="X39" s="127">
        <f ca="1">IF($C39="S",IF(Import.TipoArredondamento&lt;&gt;"TransfereGOV",VTOTAL1,SUM(OFFSET(CÁLCULO!$AA$15,ROW($X39)-ROW($X$15),1):OFFSET(CÁLCULO!$AL$15,ROW($X39)-ROW($X$15),-1))),IF($C39=0,0,ROUND(SomaAgrup,15-13*$AF$11)))</f>
        <v>728.9</v>
      </c>
      <c r="Y39" s="128" t="s">
        <v>245</v>
      </c>
      <c r="Z39" t="str">
        <f t="shared" ca="1" si="12"/>
        <v>RA</v>
      </c>
      <c r="AA39" s="129">
        <f ca="1">IF($C39="S",IF($Z39="CP",$X39,IF($Z39="RA",(($X39)*QCI!$AA$3),0)),SomaAgrup)</f>
        <v>728.9</v>
      </c>
      <c r="AB39" s="130">
        <f t="shared" ca="1" si="13"/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SINAPI 98557</v>
      </c>
      <c r="AF39" s="13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10818</v>
      </c>
      <c r="AG39" s="498">
        <f ca="1">ROUND(IF(DESONERACAO="sim",REFERENCIA.Desonerado,REFERENCIA.NaoDesonerado),2)</f>
        <v>49.97</v>
      </c>
      <c r="AH39" s="499">
        <f t="shared" ca="1" si="14"/>
        <v>0.20349999999999999</v>
      </c>
      <c r="AJ39" s="501">
        <v>12.12</v>
      </c>
      <c r="AL39" s="527"/>
      <c r="AM39" s="381">
        <f t="shared" ca="1" si="0"/>
        <v>728.9</v>
      </c>
      <c r="AN39" s="566">
        <f t="shared" ca="1" si="15"/>
        <v>60.14</v>
      </c>
    </row>
    <row r="40" spans="1:40" x14ac:dyDescent="0.2">
      <c r="A40">
        <f t="shared" si="1"/>
        <v>1</v>
      </c>
      <c r="B40">
        <f t="shared" ca="1" si="2"/>
        <v>1</v>
      </c>
      <c r="C40">
        <f t="shared" ca="1" si="3"/>
        <v>1</v>
      </c>
      <c r="D40">
        <f t="shared" ca="1" si="4"/>
        <v>10</v>
      </c>
      <c r="E40">
        <f ca="1">IF($C40=1,OFFSET(E40,-1,0)+MAX(1,COUNTIF(QCI!$A$13:$A$24,OFFSET(ORÇAMENTO!E40,-1,0))),OFFSET(E40,-1,0))</f>
        <v>3</v>
      </c>
      <c r="F40">
        <f t="shared" ca="1" si="5"/>
        <v>0</v>
      </c>
      <c r="G40">
        <f t="shared" ca="1" si="6"/>
        <v>0</v>
      </c>
      <c r="H40">
        <f t="shared" ca="1" si="7"/>
        <v>0</v>
      </c>
      <c r="I40">
        <f t="shared" ca="1" si="8"/>
        <v>0</v>
      </c>
      <c r="J40">
        <f ca="1">IF(OR($C40="S",$C40=0),0,MATCH(0,OFFSET($D40,1,$C40,ROW($C$165)-ROW($C40)),0))</f>
        <v>125</v>
      </c>
      <c r="K40">
        <f ca="1">IF(OR($C40="S",$C40=0),0,MATCH(OFFSET($D40,0,$C40)+IF($C40&lt;&gt;1,1,COUNTIF(QCI!$A$13:$A$24,ORÇAMENTO!E40)),OFFSET($D40,1,$C40,ROW($C$165)-ROW($C40)),0))</f>
        <v>10</v>
      </c>
      <c r="L40" s="116" t="str">
        <f t="shared" ca="1" si="9"/>
        <v>F</v>
      </c>
      <c r="M40" s="117" t="s">
        <v>195</v>
      </c>
      <c r="N40" s="118" t="str">
        <f t="shared" ca="1" si="10"/>
        <v>Meta</v>
      </c>
      <c r="O40" s="119" t="str">
        <f t="shared" ca="1" si="11"/>
        <v>3.</v>
      </c>
      <c r="P40" s="120" t="s">
        <v>247</v>
      </c>
      <c r="Q40" s="121"/>
      <c r="R40" s="122" t="s">
        <v>569</v>
      </c>
      <c r="S40" s="123" t="str">
        <f ca="1">REFERENCIA.Unidade</f>
        <v>-</v>
      </c>
      <c r="T40" s="124">
        <f ca="1">OFFSET(CÁLCULO!H$15,ROW($T40)-ROW(T$15),0)</f>
        <v>0</v>
      </c>
      <c r="U40" s="125"/>
      <c r="V40" s="126" t="s">
        <v>156</v>
      </c>
      <c r="W40" s="124">
        <f ca="1">IF($C40="S",ROUND(IF(TIPOORCAMENTO="Proposto",ORÇAMENTO.CustoUnitario*(1+$AH40),ORÇAMENTO.PrecoUnitarioLicitado),15-13*$AF$10),0)</f>
        <v>0</v>
      </c>
      <c r="X40" s="127">
        <f ca="1">IF($C40="S",IF(Import.TipoArredondamento&lt;&gt;"TransfereGOV",VTOTAL1,SUM(OFFSET(CÁLCULO!$AA$15,ROW($X40)-ROW($X$15),1):OFFSET(CÁLCULO!$AL$15,ROW($X40)-ROW($X$15),-1))),IF($C40=0,0,ROUND(SomaAgrup,15-13*$AF$11)))</f>
        <v>29941.17</v>
      </c>
      <c r="Y40" s="128" t="s">
        <v>245</v>
      </c>
      <c r="Z40" t="str">
        <f t="shared" ca="1" si="12"/>
        <v/>
      </c>
      <c r="AA40" s="129">
        <f ca="1">IF($C40="S",IF($Z40="CP",$X40,IF($Z40="RA",(($X40)*QCI!$AA$3),0)),SomaAgrup)</f>
        <v>29941.17</v>
      </c>
      <c r="AB40" s="130">
        <f t="shared" ca="1" si="13"/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>
        <f ca="1">IF(C40&lt;=CRONO.NivelExibicao,MAX($AD$15:OFFSET(AD40,-1,0))+IF($C40&lt;&gt;1,1,MAX(1,COUNTIF(QCI!$A$13:$A$24,OFFSET($E40,-1,0)))),"")</f>
        <v>7</v>
      </c>
      <c r="AE40" s="7" t="b">
        <f ca="1">IF(AND($C40="S",ORÇAMENTO.CodBarra&lt;&gt;""),IF(ORÇAMENTO.Fonte="",ORÇAMENTO.CodBarra,CONCATENATE(ORÇAMENTO.Fonte," ",ORÇAMENTO.CodBarra)))</f>
        <v>0</v>
      </c>
      <c r="AF40" s="13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(Sem Código)</v>
      </c>
      <c r="AG40" s="498">
        <f ca="1">ROUND(IF(DESONERACAO="sim",REFERENCIA.Desonerado,REFERENCIA.NaoDesonerado),2)</f>
        <v>0</v>
      </c>
      <c r="AH40" s="499">
        <f t="shared" ca="1" si="14"/>
        <v>0.20349999999999999</v>
      </c>
      <c r="AJ40" s="501"/>
      <c r="AL40" s="527"/>
      <c r="AM40" s="381">
        <f t="shared" ca="1" si="0"/>
        <v>29941.17</v>
      </c>
      <c r="AN40" s="566">
        <f t="shared" ca="1" si="15"/>
        <v>0</v>
      </c>
    </row>
    <row r="41" spans="1:40" x14ac:dyDescent="0.2">
      <c r="A41">
        <f t="shared" si="1"/>
        <v>2</v>
      </c>
      <c r="B41">
        <f t="shared" ca="1" si="2"/>
        <v>2</v>
      </c>
      <c r="C41">
        <f t="shared" ca="1" si="3"/>
        <v>2</v>
      </c>
      <c r="D41">
        <f t="shared" ca="1" si="4"/>
        <v>5</v>
      </c>
      <c r="E41">
        <f ca="1">IF($C41=1,OFFSET(E41,-1,0)+MAX(1,COUNTIF(QCI!$A$13:$A$24,OFFSET(ORÇAMENTO!E41,-1,0))),OFFSET(E41,-1,0))</f>
        <v>3</v>
      </c>
      <c r="F41">
        <f t="shared" ca="1" si="5"/>
        <v>1</v>
      </c>
      <c r="G41">
        <f t="shared" ca="1" si="6"/>
        <v>0</v>
      </c>
      <c r="H41">
        <f t="shared" ca="1" si="7"/>
        <v>0</v>
      </c>
      <c r="I41">
        <f t="shared" ca="1" si="8"/>
        <v>0</v>
      </c>
      <c r="J41">
        <f ca="1">IF(OR($C41="S",$C41=0),0,MATCH(0,OFFSET($D41,1,$C41,ROW($C$165)-ROW($C41)),0))</f>
        <v>9</v>
      </c>
      <c r="K41">
        <f ca="1">IF(OR($C41="S",$C41=0),0,MATCH(OFFSET($D41,0,$C41)+IF($C41&lt;&gt;1,1,COUNTIF(QCI!$A$13:$A$24,ORÇAMENTO!E41)),OFFSET($D41,1,$C41,ROW($C$165)-ROW($C41)),0))</f>
        <v>5</v>
      </c>
      <c r="L41" s="116" t="str">
        <f t="shared" ca="1" si="9"/>
        <v>F</v>
      </c>
      <c r="M41" s="117" t="s">
        <v>196</v>
      </c>
      <c r="N41" s="118" t="str">
        <f t="shared" ca="1" si="10"/>
        <v>Nível 2</v>
      </c>
      <c r="O41" s="119" t="str">
        <f t="shared" ca="1" si="11"/>
        <v>3.1.</v>
      </c>
      <c r="P41" s="120" t="s">
        <v>247</v>
      </c>
      <c r="Q41" s="121"/>
      <c r="R41" s="122" t="s">
        <v>570</v>
      </c>
      <c r="S41" s="123" t="str">
        <f ca="1">REFERENCIA.Unidade</f>
        <v>-</v>
      </c>
      <c r="T41" s="124">
        <f ca="1">OFFSET(CÁLCULO!H$15,ROW($T41)-ROW(T$15),0)</f>
        <v>0</v>
      </c>
      <c r="U41" s="125"/>
      <c r="V41" s="126" t="s">
        <v>156</v>
      </c>
      <c r="W41" s="124">
        <f ca="1">IF($C41="S",ROUND(IF(TIPOORCAMENTO="Proposto",ORÇAMENTO.CustoUnitario*(1+$AH41),ORÇAMENTO.PrecoUnitarioLicitado),15-13*$AF$10),0)</f>
        <v>0</v>
      </c>
      <c r="X41" s="127">
        <f ca="1">IF($C41="S",IF(Import.TipoArredondamento&lt;&gt;"TransfereGOV",VTOTAL1,SUM(OFFSET(CÁLCULO!$AA$15,ROW($X41)-ROW($X$15),1):OFFSET(CÁLCULO!$AL$15,ROW($X41)-ROW($X$15),-1))),IF($C41=0,0,ROUND(SomaAgrup,15-13*$AF$11)))</f>
        <v>16638.59</v>
      </c>
      <c r="Y41" s="128" t="s">
        <v>245</v>
      </c>
      <c r="Z41" t="str">
        <f t="shared" ca="1" si="12"/>
        <v/>
      </c>
      <c r="AA41" s="129">
        <f ca="1">IF($C41="S",IF($Z41="CP",$X41,IF($Z41="RA",(($X41)*QCI!$AA$3),0)),SomaAgrup)</f>
        <v>16638.59</v>
      </c>
      <c r="AB41" s="130">
        <f t="shared" ca="1" si="13"/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>
        <f ca="1">IF(C41&lt;=CRONO.NivelExibicao,MAX($AD$15:OFFSET(AD41,-1,0))+IF($C41&lt;&gt;1,1,MAX(1,COUNTIF(QCI!$A$13:$A$24,OFFSET($E41,-1,0)))),"")</f>
        <v>8</v>
      </c>
      <c r="AE41" s="7" t="b">
        <f ca="1">IF(AND($C41="S",ORÇAMENTO.CodBarra&lt;&gt;""),IF(ORÇAMENTO.Fonte="",ORÇAMENTO.CodBarra,CONCATENATE(ORÇAMENTO.Fonte," ",ORÇAMENTO.CodBarra)))</f>
        <v>0</v>
      </c>
      <c r="AF41" s="13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(Sem Código)</v>
      </c>
      <c r="AG41" s="498">
        <f ca="1">ROUND(IF(DESONERACAO="sim",REFERENCIA.Desonerado,REFERENCIA.NaoDesonerado),2)</f>
        <v>0</v>
      </c>
      <c r="AH41" s="499">
        <f t="shared" ca="1" si="14"/>
        <v>0.20349999999999999</v>
      </c>
      <c r="AJ41" s="501"/>
      <c r="AL41" s="527"/>
      <c r="AM41" s="381">
        <f t="shared" ca="1" si="0"/>
        <v>16638.59</v>
      </c>
      <c r="AN41" s="566">
        <f t="shared" ca="1" si="15"/>
        <v>0</v>
      </c>
    </row>
    <row r="42" spans="1:40" ht="25.5" x14ac:dyDescent="0.2">
      <c r="A42" t="str">
        <f t="shared" si="1"/>
        <v>S</v>
      </c>
      <c r="B42">
        <f t="shared" ca="1" si="2"/>
        <v>2</v>
      </c>
      <c r="C42" t="str">
        <f t="shared" ca="1" si="3"/>
        <v>S</v>
      </c>
      <c r="D42">
        <f t="shared" ca="1" si="4"/>
        <v>0</v>
      </c>
      <c r="E42">
        <f ca="1">IF($C42=1,OFFSET(E42,-1,0)+MAX(1,COUNTIF(QCI!$A$13:$A$24,OFFSET(ORÇAMENTO!E42,-1,0))),OFFSET(E42,-1,0))</f>
        <v>3</v>
      </c>
      <c r="F42">
        <f t="shared" ca="1" si="5"/>
        <v>1</v>
      </c>
      <c r="G42">
        <f t="shared" ca="1" si="6"/>
        <v>0</v>
      </c>
      <c r="H42">
        <f t="shared" ca="1" si="7"/>
        <v>0</v>
      </c>
      <c r="I42">
        <f t="shared" ca="1" si="8"/>
        <v>1</v>
      </c>
      <c r="J42">
        <f ca="1">IF(OR($C42="S",$C42=0),0,MATCH(0,OFFSET($D42,1,$C42,ROW($C$165)-ROW($C42)),0))</f>
        <v>0</v>
      </c>
      <c r="K42">
        <f ca="1">IF(OR($C42="S",$C42=0),0,MATCH(OFFSET($D42,0,$C42)+IF($C42&lt;&gt;1,1,COUNTIF(QCI!$A$13:$A$24,ORÇAMENTO!E42)),OFFSET($D42,1,$C42,ROW($C$165)-ROW($C42)),0))</f>
        <v>0</v>
      </c>
      <c r="L42" s="116" t="str">
        <f t="shared" ca="1" si="9"/>
        <v>F</v>
      </c>
      <c r="M42" s="117" t="s">
        <v>199</v>
      </c>
      <c r="N42" s="118" t="str">
        <f t="shared" ca="1" si="10"/>
        <v>Serviço</v>
      </c>
      <c r="O42" s="119" t="str">
        <f t="shared" ca="1" si="11"/>
        <v>3.1.1.</v>
      </c>
      <c r="P42" s="120" t="s">
        <v>247</v>
      </c>
      <c r="Q42" s="121" t="s">
        <v>521</v>
      </c>
      <c r="R42" s="122" t="str">
        <f ca="1">IF($C42="S",REFERENCIA.Descricao,"(digite a descrição aqui)")</f>
        <v>CONCRETAGEM DE PILARES, FCK = 25 MPA, COM USO DE BOMBA - LANÇAMENTO, ADENSAMENTO E ACABAMENTO. AF_02/2022_PS</v>
      </c>
      <c r="S42" s="123" t="str">
        <f ca="1">REFERENCIA.Unidade</f>
        <v>M3</v>
      </c>
      <c r="T42" s="124">
        <f ca="1">OFFSET(CÁLCULO!H$15,ROW($T42)-ROW(T$15),0)</f>
        <v>7.2</v>
      </c>
      <c r="U42" s="125">
        <f t="shared" ca="1" si="32"/>
        <v>812.22</v>
      </c>
      <c r="V42" s="126" t="s">
        <v>156</v>
      </c>
      <c r="W42" s="124">
        <f ca="1">IF($C42="S",ROUND(IF(TIPOORCAMENTO="Proposto",ORÇAMENTO.CustoUnitario*(1+$AH42),ORÇAMENTO.PrecoUnitarioLicitado),15-13*$AF$10),0)</f>
        <v>977.51</v>
      </c>
      <c r="X42" s="127">
        <f ca="1">IF($C42="S",IF(Import.TipoArredondamento&lt;&gt;"TransfereGOV",VTOTAL1,SUM(OFFSET(CÁLCULO!$AA$15,ROW($X42)-ROW($X$15),1):OFFSET(CÁLCULO!$AL$15,ROW($X42)-ROW($X$15),-1))),IF($C42=0,0,ROUND(SomaAgrup,15-13*$AF$11)))</f>
        <v>7038.07</v>
      </c>
      <c r="Y42" s="128" t="s">
        <v>245</v>
      </c>
      <c r="Z42" t="str">
        <f t="shared" ca="1" si="12"/>
        <v>RA</v>
      </c>
      <c r="AA42" s="129">
        <f ca="1">IF($C42="S",IF($Z42="CP",$X42,IF($Z42="RA",(($X42)*QCI!$AA$3),0)),SomaAgrup)</f>
        <v>7038.07</v>
      </c>
      <c r="AB42" s="130">
        <f t="shared" ca="1" si="13"/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" t="str">
        <f ca="1">IF(AND($C42="S",ORÇAMENTO.CodBarra&lt;&gt;""),IF(ORÇAMENTO.Fonte="",ORÇAMENTO.CodBarra,CONCATENATE(ORÇAMENTO.Fonte," ",ORÇAMENTO.CodBarra)))</f>
        <v>SINAPI 103672</v>
      </c>
      <c r="AF42" s="13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7507</v>
      </c>
      <c r="AG42" s="498">
        <f ca="1">ROUND(IF(DESONERACAO="sim",REFERENCIA.Desonerado,REFERENCIA.NaoDesonerado),2)</f>
        <v>812.22</v>
      </c>
      <c r="AH42" s="499">
        <f t="shared" ca="1" si="14"/>
        <v>0.20349999999999999</v>
      </c>
      <c r="AJ42" s="501">
        <v>7.2</v>
      </c>
      <c r="AL42" s="527"/>
      <c r="AM42" s="381">
        <f t="shared" ca="1" si="0"/>
        <v>7038.07</v>
      </c>
      <c r="AN42" s="566">
        <f t="shared" ca="1" si="15"/>
        <v>977.51</v>
      </c>
    </row>
    <row r="43" spans="1:40" ht="38.25" x14ac:dyDescent="0.2">
      <c r="A43" t="str">
        <f t="shared" si="1"/>
        <v>S</v>
      </c>
      <c r="B43">
        <f t="shared" ca="1" si="2"/>
        <v>2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3</v>
      </c>
      <c r="F43">
        <f t="shared" ca="1" si="5"/>
        <v>1</v>
      </c>
      <c r="G43">
        <f t="shared" ca="1" si="6"/>
        <v>0</v>
      </c>
      <c r="H43">
        <f t="shared" ca="1" si="7"/>
        <v>0</v>
      </c>
      <c r="I43">
        <f t="shared" ca="1" si="8"/>
        <v>2</v>
      </c>
      <c r="J43">
        <f ca="1">IF(OR($C43="S",$C43=0),0,MATCH(0,OFFSET($D43,1,$C43,ROW($C$165)-ROW($C43)),0))</f>
        <v>0</v>
      </c>
      <c r="K43">
        <f ca="1">IF(OR($C43="S",$C43=0),0,MATCH(OFFSET($D43,0,$C43)+IF($C43&lt;&gt;1,1,COUNTIF(QCI!$A$13:$A$24,ORÇAMENTO!E43)),OFFSET($D43,1,$C43,ROW($C$165)-ROW($C43)),0))</f>
        <v>0</v>
      </c>
      <c r="L43" s="116" t="str">
        <f t="shared" ca="1" si="9"/>
        <v>F</v>
      </c>
      <c r="M43" s="117" t="s">
        <v>199</v>
      </c>
      <c r="N43" s="118" t="str">
        <f t="shared" ca="1" si="10"/>
        <v>Serviço</v>
      </c>
      <c r="O43" s="119" t="str">
        <f t="shared" ca="1" si="11"/>
        <v>3.1.2.</v>
      </c>
      <c r="P43" s="120" t="s">
        <v>247</v>
      </c>
      <c r="Q43" s="121" t="s">
        <v>520</v>
      </c>
      <c r="R43" s="122" t="str">
        <f ca="1">IF($C43="S",REFERENCIA.Descricao,"(digite a descrição aqui)")</f>
        <v>ARMAÇÃO DE PILAR OU VIGA DE ESTRUTURA CONVENCIONAL DE CONCRETO ARMADO UTILIZANDO AÇO CA-50 DE 10,0 MM - MONTAGEM. AF_06/2022</v>
      </c>
      <c r="S43" s="123" t="str">
        <f ca="1">REFERENCIA.Unidade</f>
        <v>KG</v>
      </c>
      <c r="T43" s="124">
        <f ca="1">OFFSET(CÁLCULO!H$15,ROW($T43)-ROW(T$15),0)</f>
        <v>296.2</v>
      </c>
      <c r="U43" s="125">
        <f t="shared" ca="1" si="32"/>
        <v>10.93</v>
      </c>
      <c r="V43" s="126" t="s">
        <v>156</v>
      </c>
      <c r="W43" s="124">
        <f ca="1">IF($C43="S",ROUND(IF(TIPOORCAMENTO="Proposto",ORÇAMENTO.CustoUnitario*(1+$AH43),ORÇAMENTO.PrecoUnitarioLicitado),15-13*$AF$10),0)</f>
        <v>13.15</v>
      </c>
      <c r="X43" s="127">
        <f ca="1">IF($C43="S",IF(Import.TipoArredondamento&lt;&gt;"TransfereGOV",VTOTAL1,SUM(OFFSET(CÁLCULO!$AA$15,ROW($X43)-ROW($X$15),1):OFFSET(CÁLCULO!$AL$15,ROW($X43)-ROW($X$15),-1))),IF($C43=0,0,ROUND(SomaAgrup,15-13*$AF$11)))</f>
        <v>3895.03</v>
      </c>
      <c r="Y43" s="128" t="s">
        <v>245</v>
      </c>
      <c r="Z43" t="str">
        <f t="shared" ca="1" si="12"/>
        <v>RA</v>
      </c>
      <c r="AA43" s="129">
        <f ca="1">IF($C43="S",IF($Z43="CP",$X43,IF($Z43="RA",(($X43)*QCI!$AA$3),0)),SomaAgrup)</f>
        <v>3895.03</v>
      </c>
      <c r="AB43" s="130">
        <f t="shared" ca="1" si="13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SINAPI 92762</v>
      </c>
      <c r="AF43" s="13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6482</v>
      </c>
      <c r="AG43" s="498">
        <f ca="1">ROUND(IF(DESONERACAO="sim",REFERENCIA.Desonerado,REFERENCIA.NaoDesonerado),2)</f>
        <v>10.93</v>
      </c>
      <c r="AH43" s="499">
        <f t="shared" ca="1" si="14"/>
        <v>0.20349999999999999</v>
      </c>
      <c r="AJ43" s="501">
        <v>296.2</v>
      </c>
      <c r="AL43" s="527"/>
      <c r="AM43" s="381">
        <f t="shared" ca="1" si="0"/>
        <v>3895.03</v>
      </c>
      <c r="AN43" s="566">
        <f t="shared" ca="1" si="15"/>
        <v>13.15</v>
      </c>
    </row>
    <row r="44" spans="1:40" ht="25.5" x14ac:dyDescent="0.2">
      <c r="A44" t="str">
        <f t="shared" si="1"/>
        <v>S</v>
      </c>
      <c r="B44">
        <f t="shared" ca="1" si="2"/>
        <v>2</v>
      </c>
      <c r="C44" t="str">
        <f t="shared" ca="1" si="3"/>
        <v>S</v>
      </c>
      <c r="D44">
        <f t="shared" ca="1" si="4"/>
        <v>0</v>
      </c>
      <c r="E44">
        <f ca="1">IF($C44=1,OFFSET(E44,-1,0)+MAX(1,COUNTIF(QCI!$A$13:$A$24,OFFSET(ORÇAMENTO!E44,-1,0))),OFFSET(E44,-1,0))</f>
        <v>3</v>
      </c>
      <c r="F44">
        <f t="shared" ca="1" si="5"/>
        <v>1</v>
      </c>
      <c r="G44">
        <f t="shared" ca="1" si="6"/>
        <v>0</v>
      </c>
      <c r="H44">
        <f t="shared" ca="1" si="7"/>
        <v>0</v>
      </c>
      <c r="I44">
        <f t="shared" ca="1" si="8"/>
        <v>3</v>
      </c>
      <c r="J44">
        <f ca="1">IF(OR($C44="S",$C44=0),0,MATCH(0,OFFSET($D44,1,$C44,ROW($C$165)-ROW($C44)),0))</f>
        <v>0</v>
      </c>
      <c r="K44">
        <f ca="1">IF(OR($C44="S",$C44=0),0,MATCH(OFFSET($D44,0,$C44)+IF($C44&lt;&gt;1,1,COUNTIF(QCI!$A$13:$A$24,ORÇAMENTO!E44)),OFFSET($D44,1,$C44,ROW($C$165)-ROW($C44)),0))</f>
        <v>0</v>
      </c>
      <c r="L44" s="116" t="str">
        <f t="shared" ca="1" si="9"/>
        <v>F</v>
      </c>
      <c r="M44" s="117" t="s">
        <v>199</v>
      </c>
      <c r="N44" s="118" t="str">
        <f t="shared" ca="1" si="10"/>
        <v>Serviço</v>
      </c>
      <c r="O44" s="119" t="str">
        <f t="shared" ca="1" si="11"/>
        <v>3.1.3.</v>
      </c>
      <c r="P44" s="120" t="s">
        <v>247</v>
      </c>
      <c r="Q44" s="121" t="s">
        <v>568</v>
      </c>
      <c r="R44" s="122" t="str">
        <f ca="1">IF($C44="S",REFERENCIA.Descricao,"(digite a descrição aqui)")</f>
        <v>ARMAÇÃO DE BLOCO UTILIZANDO AÇO CA-60 DE 5 MM - MONTAGEM. AF_01/2024</v>
      </c>
      <c r="S44" s="123" t="str">
        <f ca="1">REFERENCIA.Unidade</f>
        <v>KG</v>
      </c>
      <c r="T44" s="124">
        <f ca="1">OFFSET(CÁLCULO!H$15,ROW($T44)-ROW(T$15),0)</f>
        <v>177.9</v>
      </c>
      <c r="U44" s="125">
        <f t="shared" ca="1" si="32"/>
        <v>23.21</v>
      </c>
      <c r="V44" s="126" t="s">
        <v>156</v>
      </c>
      <c r="W44" s="124">
        <f ca="1">IF($C44="S",ROUND(IF(TIPOORCAMENTO="Proposto",ORÇAMENTO.CustoUnitario*(1+$AH44),ORÇAMENTO.PrecoUnitarioLicitado),15-13*$AF$10),0)</f>
        <v>27.93</v>
      </c>
      <c r="X44" s="127">
        <f ca="1">IF($C44="S",IF(Import.TipoArredondamento&lt;&gt;"TransfereGOV",VTOTAL1,SUM(OFFSET(CÁLCULO!$AA$15,ROW($X44)-ROW($X$15),1):OFFSET(CÁLCULO!$AL$15,ROW($X44)-ROW($X$15),-1))),IF($C44=0,0,ROUND(SomaAgrup,15-13*$AF$11)))</f>
        <v>4968.75</v>
      </c>
      <c r="Y44" s="128" t="s">
        <v>245</v>
      </c>
      <c r="Z44" t="str">
        <f t="shared" ca="1" si="12"/>
        <v>RA</v>
      </c>
      <c r="AA44" s="129">
        <f ca="1">IF($C44="S",IF($Z44="CP",$X44,IF($Z44="RA",(($X44)*QCI!$AA$3),0)),SomaAgrup)</f>
        <v>4968.75</v>
      </c>
      <c r="AB44" s="130">
        <f t="shared" ca="1" si="13"/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" t="str">
        <f ca="1">IF(AND($C44="S",ORÇAMENTO.CodBarra&lt;&gt;""),IF(ORÇAMENTO.Fonte="",ORÇAMENTO.CodBarra,CONCATENATE(ORÇAMENTO.Fonte," ",ORÇAMENTO.CodBarra)))</f>
        <v>SINAPI 96543</v>
      </c>
      <c r="AF44" s="13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10440</v>
      </c>
      <c r="AG44" s="498">
        <f ca="1">ROUND(IF(DESONERACAO="sim",REFERENCIA.Desonerado,REFERENCIA.NaoDesonerado),2)</f>
        <v>23.21</v>
      </c>
      <c r="AH44" s="499">
        <f t="shared" ca="1" si="14"/>
        <v>0.20349999999999999</v>
      </c>
      <c r="AJ44" s="501">
        <v>177.9</v>
      </c>
      <c r="AL44" s="527"/>
      <c r="AM44" s="381">
        <f t="shared" ca="1" si="0"/>
        <v>4968.75</v>
      </c>
      <c r="AN44" s="566">
        <f t="shared" ca="1" si="15"/>
        <v>27.93</v>
      </c>
    </row>
    <row r="45" spans="1:40" ht="38.25" x14ac:dyDescent="0.2">
      <c r="A45" t="str">
        <f t="shared" si="1"/>
        <v>S</v>
      </c>
      <c r="B45">
        <f t="shared" ca="1" si="2"/>
        <v>2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3</v>
      </c>
      <c r="F45">
        <f t="shared" ca="1" si="5"/>
        <v>1</v>
      </c>
      <c r="G45">
        <f t="shared" ca="1" si="6"/>
        <v>0</v>
      </c>
      <c r="H45">
        <f t="shared" ca="1" si="7"/>
        <v>0</v>
      </c>
      <c r="I45">
        <f t="shared" ca="1" si="8"/>
        <v>4</v>
      </c>
      <c r="J45">
        <f ca="1">IF(OR($C45="S",$C45=0),0,MATCH(0,OFFSET($D45,1,$C45,ROW($C$165)-ROW($C45)),0))</f>
        <v>0</v>
      </c>
      <c r="K45">
        <f ca="1">IF(OR($C45="S",$C45=0),0,MATCH(OFFSET($D45,0,$C45)+IF($C45&lt;&gt;1,1,COUNTIF(QCI!$A$13:$A$24,ORÇAMENTO!E45)),OFFSET($D45,1,$C45,ROW($C$165)-ROW($C45)),0))</f>
        <v>0</v>
      </c>
      <c r="L45" s="116" t="str">
        <f t="shared" ca="1" si="9"/>
        <v>F</v>
      </c>
      <c r="M45" s="117" t="s">
        <v>199</v>
      </c>
      <c r="N45" s="118" t="str">
        <f t="shared" ca="1" si="10"/>
        <v>Serviço</v>
      </c>
      <c r="O45" s="119" t="str">
        <f t="shared" ca="1" si="11"/>
        <v>3.1.4.</v>
      </c>
      <c r="P45" s="120" t="s">
        <v>449</v>
      </c>
      <c r="Q45" s="121" t="s">
        <v>571</v>
      </c>
      <c r="R45" s="122" t="str">
        <f ca="1">IF($C45="S",REFERENCIA.Descricao,"(digite a descrição aqui)")</f>
        <v>CHAPA/PAINEL DE MADEIRA COMPENSADA PLASTIFICADA (MADEIRITE PLASTIFICADO) PARA FORMA DE CONCRETO, DE 2200 X 1100 MM, E = 6 MM</v>
      </c>
      <c r="S45" s="123" t="str">
        <f ca="1">REFERENCIA.Unidade</f>
        <v>M2</v>
      </c>
      <c r="T45" s="124">
        <f ca="1">OFFSET(CÁLCULO!H$15,ROW($T45)-ROW(T$15),0)</f>
        <v>16.100000000000001</v>
      </c>
      <c r="U45" s="125">
        <f t="shared" ca="1" si="32"/>
        <v>38.020000000000003</v>
      </c>
      <c r="V45" s="126" t="s">
        <v>156</v>
      </c>
      <c r="W45" s="124">
        <f ca="1">IF($C45="S",ROUND(IF(TIPOORCAMENTO="Proposto",ORÇAMENTO.CustoUnitario*(1+$AH45),ORÇAMENTO.PrecoUnitarioLicitado),15-13*$AF$10),0)</f>
        <v>45.76</v>
      </c>
      <c r="X45" s="127">
        <f ca="1">IF($C45="S",IF(Import.TipoArredondamento&lt;&gt;"TransfereGOV",VTOTAL1,SUM(OFFSET(CÁLCULO!$AA$15,ROW($X45)-ROW($X$15),1):OFFSET(CÁLCULO!$AL$15,ROW($X45)-ROW($X$15),-1))),IF($C45=0,0,ROUND(SomaAgrup,15-13*$AF$11)))</f>
        <v>736.74</v>
      </c>
      <c r="Y45" s="128" t="s">
        <v>245</v>
      </c>
      <c r="Z45" t="str">
        <f t="shared" ca="1" si="12"/>
        <v>RA</v>
      </c>
      <c r="AA45" s="129">
        <f ca="1">IF($C45="S",IF($Z45="CP",$X45,IF($Z45="RA",(($X45)*QCI!$AA$3),0)),SomaAgrup)</f>
        <v>736.74</v>
      </c>
      <c r="AB45" s="130">
        <f t="shared" ca="1" si="13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SINAPI-I 43679</v>
      </c>
      <c r="AF45" s="13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1124</v>
      </c>
      <c r="AG45" s="498">
        <f ca="1">ROUND(IF(DESONERACAO="sim",REFERENCIA.Desonerado,REFERENCIA.NaoDesonerado),2)</f>
        <v>38.020000000000003</v>
      </c>
      <c r="AH45" s="499">
        <f t="shared" ca="1" si="14"/>
        <v>0.20349999999999999</v>
      </c>
      <c r="AJ45" s="501">
        <v>16.100000000000001</v>
      </c>
      <c r="AL45" s="527"/>
      <c r="AM45" s="381">
        <f t="shared" ca="1" si="0"/>
        <v>736.74</v>
      </c>
      <c r="AN45" s="566">
        <f t="shared" ca="1" si="15"/>
        <v>45.76</v>
      </c>
    </row>
    <row r="46" spans="1:40" x14ac:dyDescent="0.2">
      <c r="A46">
        <f t="shared" si="1"/>
        <v>2</v>
      </c>
      <c r="B46">
        <f t="shared" ca="1" si="2"/>
        <v>2</v>
      </c>
      <c r="C46">
        <f t="shared" ca="1" si="3"/>
        <v>2</v>
      </c>
      <c r="D46">
        <f t="shared" ca="1" si="4"/>
        <v>4</v>
      </c>
      <c r="E46">
        <f ca="1">IF($C46=1,OFFSET(E46,-1,0)+MAX(1,COUNTIF(QCI!$A$13:$A$24,OFFSET(ORÇAMENTO!E46,-1,0))),OFFSET(E46,-1,0))</f>
        <v>3</v>
      </c>
      <c r="F46">
        <f t="shared" ca="1" si="5"/>
        <v>2</v>
      </c>
      <c r="G46">
        <f t="shared" ca="1" si="6"/>
        <v>0</v>
      </c>
      <c r="H46">
        <f t="shared" ca="1" si="7"/>
        <v>0</v>
      </c>
      <c r="I46">
        <f t="shared" ca="1" si="8"/>
        <v>0</v>
      </c>
      <c r="J46">
        <f ca="1">IF(OR($C46="S",$C46=0),0,MATCH(0,OFFSET($D46,1,$C46,ROW($C$165)-ROW($C46)),0))</f>
        <v>4</v>
      </c>
      <c r="K46">
        <f ca="1">IF(OR($C46="S",$C46=0),0,MATCH(OFFSET($D46,0,$C46)+IF($C46&lt;&gt;1,1,COUNTIF(QCI!$A$13:$A$24,ORÇAMENTO!E46)),OFFSET($D46,1,$C46,ROW($C$165)-ROW($C46)),0))</f>
        <v>16</v>
      </c>
      <c r="L46" s="116" t="str">
        <f t="shared" ca="1" si="9"/>
        <v>F</v>
      </c>
      <c r="M46" s="117" t="s">
        <v>196</v>
      </c>
      <c r="N46" s="118" t="str">
        <f t="shared" ca="1" si="10"/>
        <v>Nível 2</v>
      </c>
      <c r="O46" s="119" t="str">
        <f t="shared" ca="1" si="11"/>
        <v>3.2.</v>
      </c>
      <c r="P46" s="120" t="s">
        <v>247</v>
      </c>
      <c r="Q46" s="121"/>
      <c r="R46" s="122" t="s">
        <v>572</v>
      </c>
      <c r="S46" s="123" t="str">
        <f ca="1">REFERENCIA.Unidade</f>
        <v>-</v>
      </c>
      <c r="T46" s="124">
        <f ca="1">OFFSET(CÁLCULO!H$15,ROW($T46)-ROW(T$15),0)</f>
        <v>0</v>
      </c>
      <c r="U46" s="125">
        <f t="shared" ca="1" si="32"/>
        <v>0</v>
      </c>
      <c r="V46" s="126" t="s">
        <v>156</v>
      </c>
      <c r="W46" s="124">
        <f ca="1">IF($C46="S",ROUND(IF(TIPOORCAMENTO="Proposto",ORÇAMENTO.CustoUnitario*(1+$AH46),ORÇAMENTO.PrecoUnitarioLicitado),15-13*$AF$10),0)</f>
        <v>0</v>
      </c>
      <c r="X46" s="127">
        <f ca="1">IF($C46="S",IF(Import.TipoArredondamento&lt;&gt;"TransfereGOV",VTOTAL1,SUM(OFFSET(CÁLCULO!$AA$15,ROW($X46)-ROW($X$15),1):OFFSET(CÁLCULO!$AL$15,ROW($X46)-ROW($X$15),-1))),IF($C46=0,0,ROUND(SomaAgrup,15-13*$AF$11)))</f>
        <v>13302.58</v>
      </c>
      <c r="Y46" s="128" t="s">
        <v>245</v>
      </c>
      <c r="Z46" t="str">
        <f t="shared" ca="1" si="12"/>
        <v/>
      </c>
      <c r="AA46" s="129">
        <f ca="1">IF($C46="S",IF($Z46="CP",$X46,IF($Z46="RA",(($X46)*QCI!$AA$3),0)),SomaAgrup)</f>
        <v>13302.580000000002</v>
      </c>
      <c r="AB46" s="130">
        <f t="shared" ca="1" si="13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>
        <f ca="1">IF(C46&lt;=CRONO.NivelExibicao,MAX($AD$15:OFFSET(AD46,-1,0))+IF($C46&lt;&gt;1,1,MAX(1,COUNTIF(QCI!$A$13:$A$24,OFFSET($E46,-1,0)))),"")</f>
        <v>9</v>
      </c>
      <c r="AE46" s="7" t="b">
        <f ca="1">IF(AND($C46="S",ORÇAMENTO.CodBarra&lt;&gt;""),IF(ORÇAMENTO.Fonte="",ORÇAMENTO.CodBarra,CONCATENATE(ORÇAMENTO.Fonte," ",ORÇAMENTO.CodBarra)))</f>
        <v>0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(Sem Código)</v>
      </c>
      <c r="AG46" s="498">
        <f ca="1">ROUND(IF(DESONERACAO="sim",REFERENCIA.Desonerado,REFERENCIA.NaoDesonerado),2)</f>
        <v>0</v>
      </c>
      <c r="AH46" s="499">
        <f t="shared" ca="1" si="14"/>
        <v>0.20349999999999999</v>
      </c>
      <c r="AJ46" s="501"/>
      <c r="AL46" s="527"/>
      <c r="AM46" s="381">
        <f t="shared" ca="1" si="0"/>
        <v>13302.58</v>
      </c>
      <c r="AN46" s="566">
        <f t="shared" ca="1" si="15"/>
        <v>0</v>
      </c>
    </row>
    <row r="47" spans="1:40" ht="38.25" x14ac:dyDescent="0.2">
      <c r="A47" t="str">
        <f t="shared" si="1"/>
        <v>S</v>
      </c>
      <c r="B47">
        <f t="shared" ca="1" si="2"/>
        <v>2</v>
      </c>
      <c r="C47" t="str">
        <f t="shared" ca="1" si="3"/>
        <v>S</v>
      </c>
      <c r="D47">
        <f t="shared" ca="1" si="4"/>
        <v>0</v>
      </c>
      <c r="E47">
        <f ca="1">IF($C47=1,OFFSET(E47,-1,0)+MAX(1,COUNTIF(QCI!$A$13:$A$24,OFFSET(ORÇAMENTO!E47,-1,0))),OFFSET(E47,-1,0))</f>
        <v>3</v>
      </c>
      <c r="F47">
        <f t="shared" ca="1" si="5"/>
        <v>2</v>
      </c>
      <c r="G47">
        <f t="shared" ca="1" si="6"/>
        <v>0</v>
      </c>
      <c r="H47">
        <f t="shared" ca="1" si="7"/>
        <v>0</v>
      </c>
      <c r="I47">
        <f t="shared" ca="1" si="8"/>
        <v>1</v>
      </c>
      <c r="J47">
        <f ca="1">IF(OR($C47="S",$C47=0),0,MATCH(0,OFFSET($D47,1,$C47,ROW($C$165)-ROW($C47)),0))</f>
        <v>0</v>
      </c>
      <c r="K47">
        <f ca="1">IF(OR($C47="S",$C47=0),0,MATCH(OFFSET($D47,0,$C47)+IF($C47&lt;&gt;1,1,COUNTIF(QCI!$A$13:$A$24,ORÇAMENTO!E47)),OFFSET($D47,1,$C47,ROW($C$165)-ROW($C47)),0))</f>
        <v>0</v>
      </c>
      <c r="L47" s="116" t="str">
        <f t="shared" ca="1" si="9"/>
        <v>F</v>
      </c>
      <c r="M47" s="117" t="s">
        <v>199</v>
      </c>
      <c r="N47" s="118" t="str">
        <f t="shared" ca="1" si="10"/>
        <v>Serviço</v>
      </c>
      <c r="O47" s="119" t="str">
        <f t="shared" ca="1" si="11"/>
        <v>3.2.1.</v>
      </c>
      <c r="P47" s="120" t="s">
        <v>247</v>
      </c>
      <c r="Q47" s="121" t="s">
        <v>559</v>
      </c>
      <c r="R47" s="122" t="str">
        <f ca="1">IF($C47="S",REFERENCIA.Descricao,"(digite a descrição aqui)")</f>
        <v>CONCRETAGEM DE VIGAS E LAJES, FCK=25 MPA, PARA LAJES MACIÇAS OU NERVURADAS COM USO DE BOMBA - LANÇAMENTO, ADENSAMENTO E ACABAMENTO. AF_02/2022_PS</v>
      </c>
      <c r="S47" s="123" t="str">
        <f ca="1">REFERENCIA.Unidade</f>
        <v>M3</v>
      </c>
      <c r="T47" s="124">
        <f ca="1">OFFSET(CÁLCULO!H$15,ROW($T47)-ROW(T$15),0)</f>
        <v>5.5</v>
      </c>
      <c r="U47" s="125">
        <f t="shared" ca="1" si="32"/>
        <v>813.8</v>
      </c>
      <c r="V47" s="126" t="s">
        <v>156</v>
      </c>
      <c r="W47" s="124">
        <f ca="1">IF($C47="S",ROUND(IF(TIPOORCAMENTO="Proposto",ORÇAMENTO.CustoUnitario*(1+$AH47),ORÇAMENTO.PrecoUnitarioLicitado),15-13*$AF$10),0)</f>
        <v>979.41</v>
      </c>
      <c r="X47" s="127">
        <f ca="1">IF($C47="S",IF(Import.TipoArredondamento&lt;&gt;"TransfereGOV",VTOTAL1,SUM(OFFSET(CÁLCULO!$AA$15,ROW($X47)-ROW($X$15),1):OFFSET(CÁLCULO!$AL$15,ROW($X47)-ROW($X$15),-1))),IF($C47=0,0,ROUND(SomaAgrup,15-13*$AF$11)))</f>
        <v>5386.76</v>
      </c>
      <c r="Y47" s="128" t="s">
        <v>245</v>
      </c>
      <c r="Z47" t="str">
        <f t="shared" ca="1" si="12"/>
        <v>RA</v>
      </c>
      <c r="AA47" s="129">
        <f ca="1">IF($C47="S",IF($Z47="CP",$X47,IF($Z47="RA",(($X47)*QCI!$AA$3),0)),SomaAgrup)</f>
        <v>5386.76</v>
      </c>
      <c r="AB47" s="130">
        <f t="shared" ca="1" si="13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" t="str">
        <f ca="1">IF(AND($C47="S",ORÇAMENTO.CodBarra&lt;&gt;""),IF(ORÇAMENTO.Fonte="",ORÇAMENTO.CodBarra,CONCATENATE(ORÇAMENTO.Fonte," ",ORÇAMENTO.CodBarra)))</f>
        <v>SINAPI 103675</v>
      </c>
      <c r="AF47" s="13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7515</v>
      </c>
      <c r="AG47" s="498">
        <f ca="1">ROUND(IF(DESONERACAO="sim",REFERENCIA.Desonerado,REFERENCIA.NaoDesonerado),2)</f>
        <v>813.8</v>
      </c>
      <c r="AH47" s="499">
        <f t="shared" ca="1" si="14"/>
        <v>0.20349999999999999</v>
      </c>
      <c r="AJ47" s="501">
        <v>5.5</v>
      </c>
      <c r="AL47" s="527"/>
      <c r="AM47" s="381">
        <f t="shared" ca="1" si="0"/>
        <v>5386.76</v>
      </c>
      <c r="AN47" s="566">
        <f t="shared" ca="1" si="15"/>
        <v>979.41</v>
      </c>
    </row>
    <row r="48" spans="1:40" ht="38.25" x14ac:dyDescent="0.2">
      <c r="A48" t="str">
        <f t="shared" si="1"/>
        <v>S</v>
      </c>
      <c r="B48">
        <f t="shared" ca="1" si="2"/>
        <v>2</v>
      </c>
      <c r="C48" t="str">
        <f t="shared" ca="1" si="3"/>
        <v>S</v>
      </c>
      <c r="D48">
        <f t="shared" ca="1" si="4"/>
        <v>0</v>
      </c>
      <c r="E48">
        <f ca="1">IF($C48=1,OFFSET(E48,-1,0)+MAX(1,COUNTIF(QCI!$A$13:$A$24,OFFSET(ORÇAMENTO!E48,-1,0))),OFFSET(E48,-1,0))</f>
        <v>3</v>
      </c>
      <c r="F48">
        <f t="shared" ca="1" si="5"/>
        <v>2</v>
      </c>
      <c r="G48">
        <f t="shared" ca="1" si="6"/>
        <v>0</v>
      </c>
      <c r="H48">
        <f t="shared" ca="1" si="7"/>
        <v>0</v>
      </c>
      <c r="I48">
        <f t="shared" ca="1" si="8"/>
        <v>2</v>
      </c>
      <c r="J48">
        <f ca="1">IF(OR($C48="S",$C48=0),0,MATCH(0,OFFSET($D48,1,$C48,ROW($C$165)-ROW($C48)),0))</f>
        <v>0</v>
      </c>
      <c r="K48">
        <f ca="1">IF(OR($C48="S",$C48=0),0,MATCH(OFFSET($D48,0,$C48)+IF($C48&lt;&gt;1,1,COUNTIF(QCI!$A$13:$A$24,ORÇAMENTO!E48)),OFFSET($D48,1,$C48,ROW($C$165)-ROW($C48)),0))</f>
        <v>0</v>
      </c>
      <c r="L48" s="116" t="str">
        <f t="shared" ca="1" si="9"/>
        <v>F</v>
      </c>
      <c r="M48" s="117" t="s">
        <v>199</v>
      </c>
      <c r="N48" s="118" t="str">
        <f t="shared" ca="1" si="10"/>
        <v>Serviço</v>
      </c>
      <c r="O48" s="119" t="str">
        <f t="shared" ca="1" si="11"/>
        <v>3.2.2.</v>
      </c>
      <c r="P48" s="120" t="s">
        <v>247</v>
      </c>
      <c r="Q48" s="121" t="s">
        <v>520</v>
      </c>
      <c r="R48" s="122" t="str">
        <f ca="1">IF($C48="S",REFERENCIA.Descricao,"(digite a descrição aqui)")</f>
        <v>ARMAÇÃO DE PILAR OU VIGA DE ESTRUTURA CONVENCIONAL DE CONCRETO ARMADO UTILIZANDO AÇO CA-50 DE 10,0 MM - MONTAGEM. AF_06/2022</v>
      </c>
      <c r="S48" s="123" t="str">
        <f ca="1">REFERENCIA.Unidade</f>
        <v>KG</v>
      </c>
      <c r="T48" s="124">
        <f ca="1">OFFSET(CÁLCULO!H$15,ROW($T48)-ROW(T$15),0)</f>
        <v>301.7</v>
      </c>
      <c r="U48" s="125">
        <f t="shared" ca="1" si="32"/>
        <v>10.93</v>
      </c>
      <c r="V48" s="126" t="s">
        <v>156</v>
      </c>
      <c r="W48" s="124">
        <f ca="1">IF($C48="S",ROUND(IF(TIPOORCAMENTO="Proposto",ORÇAMENTO.CustoUnitario*(1+$AH48),ORÇAMENTO.PrecoUnitarioLicitado),15-13*$AF$10),0)</f>
        <v>13.15</v>
      </c>
      <c r="X48" s="127">
        <f ca="1">IF($C48="S",IF(Import.TipoArredondamento&lt;&gt;"TransfereGOV",VTOTAL1,SUM(OFFSET(CÁLCULO!$AA$15,ROW($X48)-ROW($X$15),1):OFFSET(CÁLCULO!$AL$15,ROW($X48)-ROW($X$15),-1))),IF($C48=0,0,ROUND(SomaAgrup,15-13*$AF$11)))</f>
        <v>3967.36</v>
      </c>
      <c r="Y48" s="128" t="s">
        <v>245</v>
      </c>
      <c r="Z48" t="str">
        <f t="shared" ca="1" si="12"/>
        <v>RA</v>
      </c>
      <c r="AA48" s="129">
        <f ca="1">IF($C48="S",IF($Z48="CP",$X48,IF($Z48="RA",(($X48)*QCI!$AA$3),0)),SomaAgrup)</f>
        <v>3967.36</v>
      </c>
      <c r="AB48" s="130">
        <f t="shared" ca="1" si="13"/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" t="str">
        <f ca="1">IF(AND($C48="S",ORÇAMENTO.CodBarra&lt;&gt;""),IF(ORÇAMENTO.Fonte="",ORÇAMENTO.CodBarra,CONCATENATE(ORÇAMENTO.Fonte," ",ORÇAMENTO.CodBarra)))</f>
        <v>SINAPI 92762</v>
      </c>
      <c r="AF48" s="13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6482</v>
      </c>
      <c r="AG48" s="498">
        <f ca="1">ROUND(IF(DESONERACAO="sim",REFERENCIA.Desonerado,REFERENCIA.NaoDesonerado),2)</f>
        <v>10.93</v>
      </c>
      <c r="AH48" s="499">
        <f t="shared" ca="1" si="14"/>
        <v>0.20349999999999999</v>
      </c>
      <c r="AJ48" s="501">
        <v>301.7</v>
      </c>
      <c r="AL48" s="527"/>
      <c r="AM48" s="381">
        <f t="shared" ca="1" si="0"/>
        <v>3967.36</v>
      </c>
      <c r="AN48" s="566">
        <f t="shared" ca="1" si="15"/>
        <v>13.15</v>
      </c>
    </row>
    <row r="49" spans="1:40" ht="25.5" x14ac:dyDescent="0.2">
      <c r="A49" t="str">
        <f t="shared" si="1"/>
        <v>S</v>
      </c>
      <c r="B49">
        <f t="shared" ca="1" si="2"/>
        <v>2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IF($C49=1,OFFSET(E49,-1,0)+MAX(1,COUNTIF(QCI!$A$13:$A$24,OFFSET(ORÇAMENTO!E49,-1,0))),OFFSET(E49,-1,0))</f>
        <v>3</v>
      </c>
      <c r="F49">
        <f t="shared" ca="1" si="5"/>
        <v>2</v>
      </c>
      <c r="G49">
        <f t="shared" ca="1" si="6"/>
        <v>0</v>
      </c>
      <c r="H49">
        <f t="shared" ca="1" si="7"/>
        <v>0</v>
      </c>
      <c r="I49">
        <f t="shared" ca="1" si="8"/>
        <v>3</v>
      </c>
      <c r="J49">
        <f ca="1">IF(OR($C49="S",$C49=0),0,MATCH(0,OFFSET($D49,1,$C49,ROW($C$165)-ROW($C49)),0))</f>
        <v>0</v>
      </c>
      <c r="K49">
        <f ca="1">IF(OR($C49="S",$C49=0),0,MATCH(OFFSET($D49,0,$C49)+IF($C49&lt;&gt;1,1,COUNTIF(QCI!$A$13:$A$24,ORÇAMENTO!E49)),OFFSET($D49,1,$C49,ROW($C$165)-ROW($C49)),0))</f>
        <v>0</v>
      </c>
      <c r="L49" s="116" t="str">
        <f t="shared" ca="1" si="9"/>
        <v>F</v>
      </c>
      <c r="M49" s="117" t="s">
        <v>199</v>
      </c>
      <c r="N49" s="118" t="str">
        <f t="shared" ca="1" si="10"/>
        <v>Serviço</v>
      </c>
      <c r="O49" s="119" t="str">
        <f t="shared" ca="1" si="11"/>
        <v>3.2.3.</v>
      </c>
      <c r="P49" s="120" t="s">
        <v>247</v>
      </c>
      <c r="Q49" s="121" t="s">
        <v>568</v>
      </c>
      <c r="R49" s="122" t="str">
        <f ca="1">IF($C49="S",REFERENCIA.Descricao,"(digite a descrição aqui)")</f>
        <v>ARMAÇÃO DE BLOCO UTILIZANDO AÇO CA-60 DE 5 MM - MONTAGEM. AF_01/2024</v>
      </c>
      <c r="S49" s="123" t="str">
        <f ca="1">REFERENCIA.Unidade</f>
        <v>KG</v>
      </c>
      <c r="T49" s="124">
        <f ca="1">OFFSET(CÁLCULO!H$15,ROW($T49)-ROW(T$15),0)</f>
        <v>141.37</v>
      </c>
      <c r="U49" s="125">
        <f t="shared" ca="1" si="32"/>
        <v>23.21</v>
      </c>
      <c r="V49" s="126" t="s">
        <v>156</v>
      </c>
      <c r="W49" s="124">
        <f ca="1">IF($C49="S",ROUND(IF(TIPOORCAMENTO="Proposto",ORÇAMENTO.CustoUnitario*(1+$AH49),ORÇAMENTO.PrecoUnitarioLicitado),15-13*$AF$10),0)</f>
        <v>27.93</v>
      </c>
      <c r="X49" s="127">
        <f ca="1">IF($C49="S",IF(Import.TipoArredondamento&lt;&gt;"TransfereGOV",VTOTAL1,SUM(OFFSET(CÁLCULO!$AA$15,ROW($X49)-ROW($X$15),1):OFFSET(CÁLCULO!$AL$15,ROW($X49)-ROW($X$15),-1))),IF($C49=0,0,ROUND(SomaAgrup,15-13*$AF$11)))</f>
        <v>3948.46</v>
      </c>
      <c r="Y49" s="128" t="s">
        <v>245</v>
      </c>
      <c r="Z49" t="str">
        <f t="shared" ca="1" si="12"/>
        <v>RA</v>
      </c>
      <c r="AA49" s="129">
        <f ca="1">IF($C49="S",IF($Z49="CP",$X49,IF($Z49="RA",(($X49)*QCI!$AA$3),0)),SomaAgrup)</f>
        <v>3948.46</v>
      </c>
      <c r="AB49" s="130">
        <f t="shared" ca="1" si="13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" t="str">
        <f ca="1">IF(AND($C49="S",ORÇAMENTO.CodBarra&lt;&gt;""),IF(ORÇAMENTO.Fonte="",ORÇAMENTO.CodBarra,CONCATENATE(ORÇAMENTO.Fonte," ",ORÇAMENTO.CodBarra)))</f>
        <v>SINAPI 96543</v>
      </c>
      <c r="AF49" s="13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10440</v>
      </c>
      <c r="AG49" s="498">
        <f ca="1">ROUND(IF(DESONERACAO="sim",REFERENCIA.Desonerado,REFERENCIA.NaoDesonerado),2)</f>
        <v>23.21</v>
      </c>
      <c r="AH49" s="499">
        <f t="shared" ca="1" si="14"/>
        <v>0.20349999999999999</v>
      </c>
      <c r="AJ49" s="501">
        <v>141.37</v>
      </c>
      <c r="AL49" s="527"/>
      <c r="AM49" s="381">
        <f t="shared" ca="1" si="0"/>
        <v>3948.46</v>
      </c>
      <c r="AN49" s="566">
        <f t="shared" ca="1" si="15"/>
        <v>27.93</v>
      </c>
    </row>
    <row r="50" spans="1:40" x14ac:dyDescent="0.2">
      <c r="A50">
        <f>CHOOSE(1+LOG(1+2*(ORÇAMENTO.Nivel="Meta")+4*(ORÇAMENTO.Nivel="Nível 2")+8*(ORÇAMENTO.Nivel="Nível 3")+16*(ORÇAMENTO.Nivel="Nível 4")+32*(ORÇAMENTO.Nivel="Serviço"),2),0,1,2,3,4,"S")</f>
        <v>1</v>
      </c>
      <c r="B50">
        <f ca="1">IF(OR(C50="s",C50=0),OFFSET(B50,-1,0),C50)</f>
        <v>1</v>
      </c>
      <c r="C50">
        <f ca="1">IF(OFFSET(C50,-1,0)="L",1,IF(OFFSET(C50,-1,0)=1,2,IF(OR(A50="s",A50=0),"S",IF(AND(OFFSET(C50,-1,0)=2,A50=4),3,IF(AND(OR(OFFSET(C50,-1,0)="s",OFFSET(C50,-1,0)=0),A50&lt;&gt;"s",A50&gt;OFFSET(B50,-1,0)),OFFSET(B50,-1,0),A50)))))</f>
        <v>1</v>
      </c>
      <c r="D50">
        <f ca="1">IF(OR(C50="S",C50=0),0,IF(ISERROR(K50),J50,SMALL(J50:K50,1)))</f>
        <v>20</v>
      </c>
      <c r="E50">
        <f ca="1">IF($C50=1,OFFSET(E50,-1,0)+MAX(1,COUNTIF(QCI!$A$13:$A$24,OFFSET(ORÇAMENTO!E50,-1,0))),OFFSET(E50,-1,0))</f>
        <v>4</v>
      </c>
      <c r="F50">
        <f ca="1">IF($C50=1,0,IF($C50=2,OFFSET(F50,-1,0)+1,OFFSET(F50,-1,0)))</f>
        <v>0</v>
      </c>
      <c r="G50">
        <f ca="1">IF(AND($C50&lt;=2,$C50&lt;&gt;0),0,IF($C50=3,OFFSET(G50,-1,0)+1,OFFSET(G50,-1,0)))</f>
        <v>0</v>
      </c>
      <c r="H50">
        <f ca="1">IF(AND($C50&lt;=3,$C50&lt;&gt;0),0,IF($C50=4,OFFSET(H50,-1,0)+1,OFFSET(H50,-1,0)))</f>
        <v>0</v>
      </c>
      <c r="I50">
        <f ca="1">IF(AND($C50&lt;=4,$C50&lt;&gt;0),0,IF(AND($C50="S",$X50&gt;0),OFFSET(I50,-1,0)+1,OFFSET(I50,-1,0)))</f>
        <v>0</v>
      </c>
      <c r="J50">
        <f ca="1">IF(OR($C50="S",$C50=0),0,MATCH(0,OFFSET($D50,1,$C50,ROW($C$165)-ROW($C50)),0))</f>
        <v>115</v>
      </c>
      <c r="K50">
        <f ca="1">IF(OR($C50="S",$C50=0),0,MATCH(OFFSET($D50,0,$C50)+IF($C50&lt;&gt;1,1,COUNTIF(QCI!$A$13:$A$24,ORÇAMENTO!E50)),OFFSET($D50,1,$C50,ROW($C$165)-ROW($C50)),0))</f>
        <v>20</v>
      </c>
      <c r="L50" s="116" t="str">
        <f ca="1">IF(OR($X50&gt;0,$C50=1,$C50=2,$C50=3,$C50=4),"F","")</f>
        <v>F</v>
      </c>
      <c r="M50" s="117" t="s">
        <v>195</v>
      </c>
      <c r="N50" s="118" t="str">
        <f ca="1">CHOOSE(1+LOG(1+2*(C50=1)+4*(C50=2)+8*(C50=3)+16*(C50=4)+32*(C50="S"),2),"","Meta","Nível 2","Nível 3","Nível 4","Serviço")</f>
        <v>Meta</v>
      </c>
      <c r="O50" s="119" t="str">
        <f ca="1">IF(OR($C50=0,$L50=""),"-",CONCATENATE(E50&amp;".",IF(AND($A$5&gt;=2,$C50&gt;=2),F50&amp;".",""),IF(AND($A$5&gt;=3,$C50&gt;=3),G50&amp;".",""),IF(AND($A$5&gt;=4,$C50&gt;=4),H50&amp;".",""),IF($C50="S",I50&amp;".","")))</f>
        <v>4.</v>
      </c>
      <c r="P50" s="120" t="s">
        <v>247</v>
      </c>
      <c r="Q50" s="121"/>
      <c r="R50" s="122" t="s">
        <v>573</v>
      </c>
      <c r="S50" s="123" t="str">
        <f ca="1">REFERENCIA.Unidade</f>
        <v>-</v>
      </c>
      <c r="T50" s="124">
        <f ca="1">OFFSET(CÁLCULO!H$15,ROW($T50)-ROW(T$15),0)</f>
        <v>0</v>
      </c>
      <c r="U50" s="125"/>
      <c r="V50" s="126" t="s">
        <v>156</v>
      </c>
      <c r="W50" s="124">
        <f ca="1">IF($C50="S",ROUND(IF(TIPOORCAMENTO="Proposto",ORÇAMENTO.CustoUnitario*(1+$AH50),ORÇAMENTO.PrecoUnitarioLicitado),15-13*$AF$10),0)</f>
        <v>0</v>
      </c>
      <c r="X50" s="127">
        <f ca="1">IF($C50="S",IF(Import.TipoArredondamento&lt;&gt;"TransfereGOV",VTOTAL1,SUM(OFFSET(CÁLCULO!$AA$15,ROW($X50)-ROW($X$15),1):OFFSET(CÁLCULO!$AL$15,ROW($X50)-ROW($X$15),-1))),IF($C50=0,0,ROUND(SomaAgrup,15-13*$AF$11)))</f>
        <v>104612.68</v>
      </c>
      <c r="Y50" s="128" t="s">
        <v>245</v>
      </c>
      <c r="Z50" t="str">
        <f ca="1">IF(AND($C50="S",$X50&gt;0),IF(ISBLANK($Y50),"RA",LEFT($Y50,2)),"")</f>
        <v/>
      </c>
      <c r="AA50" s="129">
        <f ca="1">IF($C50="S",IF($Z50="CP",$X50,IF($Z50="RA",(($X50)*QCI!$AA$3),0)),SomaAgrup)</f>
        <v>104612.68000000002</v>
      </c>
      <c r="AB50" s="130">
        <f ca="1">IF($C50="S",IF($Z50="OU",ROUND($X50,2),0),SomaAgrup)</f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>
        <f ca="1">IF(C50&lt;=CRONO.NivelExibicao,MAX($AD$15:OFFSET(AD50,-1,0))+IF($C50&lt;&gt;1,1,MAX(1,COUNTIF(QCI!$A$13:$A$24,OFFSET($E50,-1,0)))),"")</f>
        <v>10</v>
      </c>
      <c r="AE50" s="7" t="b">
        <f ca="1">IF(AND($C50="S",ORÇAMENTO.CodBarra&lt;&gt;""),IF(ORÇAMENTO.Fonte="",ORÇAMENTO.CodBarra,CONCATENATE(ORÇAMENTO.Fonte," ",ORÇAMENTO.CodBarra)))</f>
        <v>0</v>
      </c>
      <c r="AF50" s="13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(Sem Código)</v>
      </c>
      <c r="AG50" s="498">
        <f ca="1">ROUND(IF(DESONERACAO="sim",REFERENCIA.Desonerado,REFERENCIA.NaoDesonerado),2)</f>
        <v>0</v>
      </c>
      <c r="AH50" s="499">
        <f ca="1">ROUND(IF(ISNUMBER(ORÇAMENTO.OpcaoBDI),ORÇAMENTO.OpcaoBDI,IF(LEFT(ORÇAMENTO.OpcaoBDI,3)="BDI",HLOOKUP(ORÇAMENTO.OpcaoBDI,$F$4:$H$5,2,FALSE),0)),15-11*$AF$9)</f>
        <v>0.20349999999999999</v>
      </c>
      <c r="AJ50" s="501"/>
      <c r="AL50" s="527"/>
      <c r="AM50" s="381">
        <f t="shared" ca="1" si="0"/>
        <v>104612.68</v>
      </c>
      <c r="AN50" s="566">
        <f ca="1">ROUND(ORÇAMENTO.CustoUnitario*(1+$AH50),2)</f>
        <v>0</v>
      </c>
    </row>
    <row r="51" spans="1:40" x14ac:dyDescent="0.2">
      <c r="A51">
        <f t="shared" si="1"/>
        <v>2</v>
      </c>
      <c r="B51">
        <f t="shared" ca="1" si="2"/>
        <v>2</v>
      </c>
      <c r="C51">
        <f t="shared" ca="1" si="3"/>
        <v>2</v>
      </c>
      <c r="D51">
        <f t="shared" ca="1" si="4"/>
        <v>7</v>
      </c>
      <c r="E51">
        <f ca="1">IF($C51=1,OFFSET(E51,-1,0)+MAX(1,COUNTIF(QCI!$A$13:$A$24,OFFSET(ORÇAMENTO!E51,-1,0))),OFFSET(E51,-1,0))</f>
        <v>4</v>
      </c>
      <c r="F51">
        <f t="shared" ca="1" si="5"/>
        <v>1</v>
      </c>
      <c r="G51">
        <f t="shared" ca="1" si="6"/>
        <v>0</v>
      </c>
      <c r="H51">
        <f t="shared" ca="1" si="7"/>
        <v>0</v>
      </c>
      <c r="I51">
        <f t="shared" ca="1" si="8"/>
        <v>0</v>
      </c>
      <c r="J51">
        <f ca="1">IF(OR($C51="S",$C51=0),0,MATCH(0,OFFSET($D51,1,$C51,ROW($C$165)-ROW($C51)),0))</f>
        <v>19</v>
      </c>
      <c r="K51">
        <f ca="1">IF(OR($C51="S",$C51=0),0,MATCH(OFFSET($D51,0,$C51)+IF($C51&lt;&gt;1,1,COUNTIF(QCI!$A$13:$A$24,ORÇAMENTO!E51)),OFFSET($D51,1,$C51,ROW($C$165)-ROW($C51)),0))</f>
        <v>7</v>
      </c>
      <c r="L51" s="116" t="str">
        <f t="shared" ca="1" si="9"/>
        <v>F</v>
      </c>
      <c r="M51" s="117" t="s">
        <v>196</v>
      </c>
      <c r="N51" s="118" t="str">
        <f t="shared" ca="1" si="10"/>
        <v>Nível 2</v>
      </c>
      <c r="O51" s="119" t="str">
        <f t="shared" ca="1" si="11"/>
        <v>4.1.</v>
      </c>
      <c r="P51" s="120" t="s">
        <v>247</v>
      </c>
      <c r="Q51" s="121"/>
      <c r="R51" s="122" t="s">
        <v>575</v>
      </c>
      <c r="S51" s="123" t="str">
        <f ca="1">REFERENCIA.Unidade</f>
        <v>-</v>
      </c>
      <c r="T51" s="124">
        <f ca="1">OFFSET(CÁLCULO!H$15,ROW($T51)-ROW(T$15),0)</f>
        <v>0</v>
      </c>
      <c r="U51" s="125">
        <f t="shared" ca="1" si="32"/>
        <v>0</v>
      </c>
      <c r="V51" s="126" t="s">
        <v>156</v>
      </c>
      <c r="W51" s="124">
        <f ca="1">IF($C51="S",ROUND(IF(TIPOORCAMENTO="Proposto",ORÇAMENTO.CustoUnitario*(1+$AH51),ORÇAMENTO.PrecoUnitarioLicitado),15-13*$AF$10),0)</f>
        <v>0</v>
      </c>
      <c r="X51" s="127">
        <f ca="1">IF($C51="S",IF(Import.TipoArredondamento&lt;&gt;"TransfereGOV",VTOTAL1,SUM(OFFSET(CÁLCULO!$AA$15,ROW($X51)-ROW($X$15),1):OFFSET(CÁLCULO!$AL$15,ROW($X51)-ROW($X$15),-1))),IF($C51=0,0,ROUND(SomaAgrup,15-13*$AF$11)))</f>
        <v>56906.65</v>
      </c>
      <c r="Y51" s="128" t="s">
        <v>245</v>
      </c>
      <c r="Z51" t="str">
        <f t="shared" ca="1" si="12"/>
        <v/>
      </c>
      <c r="AA51" s="129">
        <f ca="1">IF($C51="S",IF($Z51="CP",$X51,IF($Z51="RA",(($X51)*QCI!$AA$3),0)),SomaAgrup)</f>
        <v>56906.650000000009</v>
      </c>
      <c r="AB51" s="130">
        <f t="shared" ca="1" si="13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>
        <f ca="1">IF(C51&lt;=CRONO.NivelExibicao,MAX($AD$15:OFFSET(AD51,-1,0))+IF($C51&lt;&gt;1,1,MAX(1,COUNTIF(QCI!$A$13:$A$24,OFFSET($E51,-1,0)))),"")</f>
        <v>11</v>
      </c>
      <c r="AE51" s="7" t="b">
        <f ca="1">IF(AND($C51="S",ORÇAMENTO.CodBarra&lt;&gt;""),IF(ORÇAMENTO.Fonte="",ORÇAMENTO.CodBarra,CONCATENATE(ORÇAMENTO.Fonte," ",ORÇAMENTO.CodBarra)))</f>
        <v>0</v>
      </c>
      <c r="AF51" s="13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(Sem Código)</v>
      </c>
      <c r="AG51" s="498">
        <f ca="1">ROUND(IF(DESONERACAO="sim",REFERENCIA.Desonerado,REFERENCIA.NaoDesonerado),2)</f>
        <v>0</v>
      </c>
      <c r="AH51" s="499">
        <f t="shared" ca="1" si="14"/>
        <v>0.20349999999999999</v>
      </c>
      <c r="AJ51" s="501"/>
      <c r="AL51" s="527"/>
      <c r="AM51" s="381">
        <f t="shared" ca="1" si="0"/>
        <v>56906.65</v>
      </c>
      <c r="AN51" s="566">
        <f t="shared" ca="1" si="15"/>
        <v>0</v>
      </c>
    </row>
    <row r="52" spans="1:40" ht="51" x14ac:dyDescent="0.2">
      <c r="A52" t="str">
        <f t="shared" si="1"/>
        <v>S</v>
      </c>
      <c r="B52">
        <f t="shared" ca="1" si="2"/>
        <v>2</v>
      </c>
      <c r="C52" t="str">
        <f t="shared" ca="1" si="3"/>
        <v>S</v>
      </c>
      <c r="D52">
        <f t="shared" ca="1" si="4"/>
        <v>0</v>
      </c>
      <c r="E52">
        <f ca="1">IF($C52=1,OFFSET(E52,-1,0)+MAX(1,COUNTIF(QCI!$A$13:$A$24,OFFSET(ORÇAMENTO!E52,-1,0))),OFFSET(E52,-1,0))</f>
        <v>4</v>
      </c>
      <c r="F52">
        <f t="shared" ca="1" si="5"/>
        <v>1</v>
      </c>
      <c r="G52">
        <f t="shared" ca="1" si="6"/>
        <v>0</v>
      </c>
      <c r="H52">
        <f t="shared" ca="1" si="7"/>
        <v>0</v>
      </c>
      <c r="I52">
        <f t="shared" ca="1" si="8"/>
        <v>1</v>
      </c>
      <c r="J52">
        <f ca="1">IF(OR($C52="S",$C52=0),0,MATCH(0,OFFSET($D52,1,$C52,ROW($C$165)-ROW($C52)),0))</f>
        <v>0</v>
      </c>
      <c r="K52">
        <f ca="1">IF(OR($C52="S",$C52=0),0,MATCH(OFFSET($D52,0,$C52)+IF($C52&lt;&gt;1,1,COUNTIF(QCI!$A$13:$A$24,ORÇAMENTO!E52)),OFFSET($D52,1,$C52,ROW($C$165)-ROW($C52)),0))</f>
        <v>0</v>
      </c>
      <c r="L52" s="116" t="str">
        <f t="shared" ca="1" si="9"/>
        <v>F</v>
      </c>
      <c r="M52" s="117" t="s">
        <v>199</v>
      </c>
      <c r="N52" s="118" t="str">
        <f t="shared" ca="1" si="10"/>
        <v>Serviço</v>
      </c>
      <c r="O52" s="119" t="str">
        <f t="shared" ca="1" si="11"/>
        <v>4.1.1.</v>
      </c>
      <c r="P52" s="120" t="s">
        <v>247</v>
      </c>
      <c r="Q52" s="121" t="s">
        <v>539</v>
      </c>
      <c r="R52" s="122" t="str">
        <f ca="1">IF($C52="S",REFERENCIA.Descricao,"(digite a descrição aqui)")</f>
        <v>ALVENARIA DE VEDAÇÃO DE BLOCOS CERÂMICOS FURADOS NA HORIZONTAL DE 11,5X19X39 CM (ESPESSURA 11,5 CM) E ARGAMASSA DE ASSENTAMENTO COM PREPARO EM BETONEIRA. AF_08/2026</v>
      </c>
      <c r="S52" s="123" t="str">
        <f ca="1">REFERENCIA.Unidade</f>
        <v>M2</v>
      </c>
      <c r="T52" s="124">
        <f ca="1">OFFSET(CÁLCULO!H$15,ROW($T52)-ROW(T$15),0)</f>
        <v>256.48</v>
      </c>
      <c r="U52" s="125">
        <f t="shared" ca="1" si="32"/>
        <v>90.9</v>
      </c>
      <c r="V52" s="126" t="s">
        <v>156</v>
      </c>
      <c r="W52" s="124">
        <f ca="1">IF($C52="S",ROUND(IF(TIPOORCAMENTO="Proposto",ORÇAMENTO.CustoUnitario*(1+$AH52),ORÇAMENTO.PrecoUnitarioLicitado),15-13*$AF$10),0)</f>
        <v>109.4</v>
      </c>
      <c r="X52" s="127">
        <f ca="1">IF($C52="S",IF(Import.TipoArredondamento&lt;&gt;"TransfereGOV",VTOTAL1,SUM(OFFSET(CÁLCULO!$AA$15,ROW($X52)-ROW($X$15),1):OFFSET(CÁLCULO!$AL$15,ROW($X52)-ROW($X$15),-1))),IF($C52=0,0,ROUND(SomaAgrup,15-13*$AF$11)))</f>
        <v>28058.91</v>
      </c>
      <c r="Y52" s="128" t="s">
        <v>245</v>
      </c>
      <c r="Z52" t="str">
        <f t="shared" ca="1" si="12"/>
        <v>RA</v>
      </c>
      <c r="AA52" s="129">
        <f ca="1">IF($C52="S",IF($Z52="CP",$X52,IF($Z52="RA",(($X52)*QCI!$AA$3),0)),SomaAgrup)</f>
        <v>28058.91</v>
      </c>
      <c r="AB52" s="130">
        <f t="shared" ca="1" si="13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SINAPI 103366</v>
      </c>
      <c r="AF52" s="13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6228</v>
      </c>
      <c r="AG52" s="498">
        <f ca="1">ROUND(IF(DESONERACAO="sim",REFERENCIA.Desonerado,REFERENCIA.NaoDesonerado),2)</f>
        <v>90.9</v>
      </c>
      <c r="AH52" s="499">
        <f t="shared" ca="1" si="14"/>
        <v>0.20349999999999999</v>
      </c>
      <c r="AJ52" s="501">
        <v>256.48</v>
      </c>
      <c r="AL52" s="527"/>
      <c r="AM52" s="381">
        <f t="shared" ca="1" si="0"/>
        <v>28058.91</v>
      </c>
      <c r="AN52" s="566">
        <f t="shared" ca="1" si="15"/>
        <v>109.4</v>
      </c>
    </row>
    <row r="53" spans="1:40" ht="51" x14ac:dyDescent="0.2">
      <c r="A53" t="str">
        <f t="shared" si="1"/>
        <v>S</v>
      </c>
      <c r="B53">
        <f t="shared" ca="1" si="2"/>
        <v>2</v>
      </c>
      <c r="C53" t="str">
        <f t="shared" ca="1" si="3"/>
        <v>S</v>
      </c>
      <c r="D53">
        <f t="shared" ca="1" si="4"/>
        <v>0</v>
      </c>
      <c r="E53">
        <f ca="1">IF($C53=1,OFFSET(E53,-1,0)+MAX(1,COUNTIF(QCI!$A$13:$A$24,OFFSET(ORÇAMENTO!E53,-1,0))),OFFSET(E53,-1,0))</f>
        <v>4</v>
      </c>
      <c r="F53">
        <f t="shared" ca="1" si="5"/>
        <v>1</v>
      </c>
      <c r="G53">
        <f t="shared" ca="1" si="6"/>
        <v>0</v>
      </c>
      <c r="H53">
        <f t="shared" ca="1" si="7"/>
        <v>0</v>
      </c>
      <c r="I53">
        <f t="shared" ca="1" si="8"/>
        <v>2</v>
      </c>
      <c r="J53">
        <f ca="1">IF(OR($C53="S",$C53=0),0,MATCH(0,OFFSET($D53,1,$C53,ROW($C$165)-ROW($C53)),0))</f>
        <v>0</v>
      </c>
      <c r="K53">
        <f ca="1">IF(OR($C53="S",$C53=0),0,MATCH(OFFSET($D53,0,$C53)+IF($C53&lt;&gt;1,1,COUNTIF(QCI!$A$13:$A$24,ORÇAMENTO!E53)),OFFSET($D53,1,$C53,ROW($C$165)-ROW($C53)),0))</f>
        <v>0</v>
      </c>
      <c r="L53" s="116" t="str">
        <f t="shared" ca="1" si="9"/>
        <v>F</v>
      </c>
      <c r="M53" s="117" t="s">
        <v>199</v>
      </c>
      <c r="N53" s="118" t="str">
        <f t="shared" ca="1" si="10"/>
        <v>Serviço</v>
      </c>
      <c r="O53" s="119" t="str">
        <f t="shared" ca="1" si="11"/>
        <v>4.1.2.</v>
      </c>
      <c r="P53" s="120" t="s">
        <v>247</v>
      </c>
      <c r="Q53" s="121" t="s">
        <v>460</v>
      </c>
      <c r="R53" s="122" t="str">
        <f ca="1">IF($C53="S",REFERENCIA.Descricao,"(digite a descrição aqui)")</f>
        <v>EMBOÇO OU MASSA ÚNICA EM ARGAMASSA TRAÇO 1:2:8, PREPARO MECÂNICO COM BETONEIRA 400 L, APLICADA MANUALMENTE EM PANOS CEGOS DE FACHADA (SEM PRESENÇA DE VÃOS), ESPESSURA DE 25 MM. AF_08/2022</v>
      </c>
      <c r="S53" s="123" t="str">
        <f ca="1">REFERENCIA.Unidade</f>
        <v>M2</v>
      </c>
      <c r="T53" s="124">
        <f ca="1">OFFSET(CÁLCULO!H$15,ROW($T53)-ROW(T$15),0)</f>
        <v>153.30000000000001</v>
      </c>
      <c r="U53" s="125">
        <f t="shared" ca="1" si="32"/>
        <v>50.07</v>
      </c>
      <c r="V53" s="126" t="s">
        <v>156</v>
      </c>
      <c r="W53" s="124">
        <f ca="1">IF($C53="S",ROUND(IF(TIPOORCAMENTO="Proposto",ORÇAMENTO.CustoUnitario*(1+$AH53),ORÇAMENTO.PrecoUnitarioLicitado),15-13*$AF$10),0)</f>
        <v>60.26</v>
      </c>
      <c r="X53" s="127">
        <f ca="1">IF($C53="S",IF(Import.TipoArredondamento&lt;&gt;"TransfereGOV",VTOTAL1,SUM(OFFSET(CÁLCULO!$AA$15,ROW($X53)-ROW($X$15),1):OFFSET(CÁLCULO!$AL$15,ROW($X53)-ROW($X$15),-1))),IF($C53=0,0,ROUND(SomaAgrup,15-13*$AF$11)))</f>
        <v>9237.86</v>
      </c>
      <c r="Y53" s="128" t="s">
        <v>245</v>
      </c>
      <c r="Z53" t="str">
        <f t="shared" ca="1" si="12"/>
        <v>RA</v>
      </c>
      <c r="AA53" s="129">
        <f ca="1">IF($C53="S",IF($Z53="CP",$X53,IF($Z53="RA",(($X53)*QCI!$AA$3),0)),SomaAgrup)</f>
        <v>9237.86</v>
      </c>
      <c r="AB53" s="130">
        <f t="shared" ca="1" si="13"/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" t="str">
        <f ca="1">IF(AND($C53="S",ORÇAMENTO.CodBarra&lt;&gt;""),IF(ORÇAMENTO.Fonte="",ORÇAMENTO.CodBarra,CONCATENATE(ORÇAMENTO.Fonte," ",ORÇAMENTO.CodBarra)))</f>
        <v>SINAPI 87792</v>
      </c>
      <c r="AF53" s="13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13943</v>
      </c>
      <c r="AG53" s="498">
        <f ca="1">ROUND(IF(DESONERACAO="sim",REFERENCIA.Desonerado,REFERENCIA.NaoDesonerado),2)</f>
        <v>50.07</v>
      </c>
      <c r="AH53" s="499">
        <f t="shared" ca="1" si="14"/>
        <v>0.20349999999999999</v>
      </c>
      <c r="AJ53" s="501">
        <v>153.30000000000001</v>
      </c>
      <c r="AL53" s="527"/>
      <c r="AM53" s="381">
        <f t="shared" ca="1" si="0"/>
        <v>9237.86</v>
      </c>
      <c r="AN53" s="566">
        <f t="shared" ca="1" si="15"/>
        <v>60.26</v>
      </c>
    </row>
    <row r="54" spans="1:40" ht="38.25" x14ac:dyDescent="0.2">
      <c r="A54" t="str">
        <f t="shared" ref="A54:A69" si="33">CHOOSE(1+LOG(1+2*(ORÇAMENTO.Nivel="Meta")+4*(ORÇAMENTO.Nivel="Nível 2")+8*(ORÇAMENTO.Nivel="Nível 3")+16*(ORÇAMENTO.Nivel="Nível 4")+32*(ORÇAMENTO.Nivel="Serviço"),2),0,1,2,3,4,"S")</f>
        <v>S</v>
      </c>
      <c r="B54">
        <f ca="1">IF(OR(C54="s",C54=0),OFFSET(B54,-1,0),C54)</f>
        <v>2</v>
      </c>
      <c r="C54" t="str">
        <f ca="1">IF(OFFSET(C54,-1,0)="L",1,IF(OFFSET(C54,-1,0)=1,2,IF(OR(A54="s",A54=0),"S",IF(AND(OFFSET(C54,-1,0)=2,A54=4),3,IF(AND(OR(OFFSET(C54,-1,0)="s",OFFSET(C54,-1,0)=0),A54&lt;&gt;"s",A54&gt;OFFSET(B54,-1,0)),OFFSET(B54,-1,0),A54)))))</f>
        <v>S</v>
      </c>
      <c r="D54">
        <f ca="1">IF(OR(C54="S",C54=0),0,IF(ISERROR(K54),J54,SMALL(J54:K54,1)))</f>
        <v>0</v>
      </c>
      <c r="E54">
        <f ca="1">IF($C54=1,OFFSET(E54,-1,0)+MAX(1,COUNTIF(QCI!$A$13:$A$24,OFFSET(ORÇAMENTO!E54,-1,0))),OFFSET(E54,-1,0))</f>
        <v>4</v>
      </c>
      <c r="F54">
        <f ca="1">IF($C54=1,0,IF($C54=2,OFFSET(F54,-1,0)+1,OFFSET(F54,-1,0)))</f>
        <v>1</v>
      </c>
      <c r="G54">
        <f ca="1">IF(AND($C54&lt;=2,$C54&lt;&gt;0),0,IF($C54=3,OFFSET(G54,-1,0)+1,OFFSET(G54,-1,0)))</f>
        <v>0</v>
      </c>
      <c r="H54">
        <f ca="1">IF(AND($C54&lt;=3,$C54&lt;&gt;0),0,IF($C54=4,OFFSET(H54,-1,0)+1,OFFSET(H54,-1,0)))</f>
        <v>0</v>
      </c>
      <c r="I54">
        <f ca="1">IF(AND($C54&lt;=4,$C54&lt;&gt;0),0,IF(AND($C54="S",$X54&gt;0),OFFSET(I54,-1,0)+1,OFFSET(I54,-1,0)))</f>
        <v>3</v>
      </c>
      <c r="J54">
        <f ca="1">IF(OR($C54="S",$C54=0),0,MATCH(0,OFFSET($D54,1,$C54,ROW($C$165)-ROW($C54)),0))</f>
        <v>0</v>
      </c>
      <c r="K54">
        <f ca="1">IF(OR($C54="S",$C54=0),0,MATCH(OFFSET($D54,0,$C54)+IF($C54&lt;&gt;1,1,COUNTIF(QCI!$A$13:$A$24,ORÇAMENTO!E54)),OFFSET($D54,1,$C54,ROW($C$165)-ROW($C54)),0))</f>
        <v>0</v>
      </c>
      <c r="L54" s="116" t="str">
        <f ca="1">IF(OR($X54&gt;0,$C54=1,$C54=2,$C54=3,$C54=4),"F","")</f>
        <v>F</v>
      </c>
      <c r="M54" s="117" t="s">
        <v>199</v>
      </c>
      <c r="N54" s="118" t="str">
        <f ca="1">CHOOSE(1+LOG(1+2*(C54=1)+4*(C54=2)+8*(C54=3)+16*(C54=4)+32*(C54="S"),2),"","Meta","Nível 2","Nível 3","Nível 4","Serviço")</f>
        <v>Serviço</v>
      </c>
      <c r="O54" s="119" t="str">
        <f ca="1">IF(OR($C54=0,$L54=""),"-",CONCATENATE(E54&amp;".",IF(AND($A$5&gt;=2,$C54&gt;=2),F54&amp;".",""),IF(AND($A$5&gt;=3,$C54&gt;=3),G54&amp;".",""),IF(AND($A$5&gt;=4,$C54&gt;=4),H54&amp;".",""),IF($C54="S",I54&amp;".","")))</f>
        <v>4.1.3.</v>
      </c>
      <c r="P54" s="120" t="s">
        <v>247</v>
      </c>
      <c r="Q54" s="121" t="s">
        <v>461</v>
      </c>
      <c r="R54" s="122" t="str">
        <f ca="1">IF($C54="S",REFERENCIA.Descricao,"(digite a descrição aqui)")</f>
        <v>MASSA ÚNICA, EM ARGAMASSA TRAÇO 1:2:8 PREPARO MECÂNICO, APLICADA MANUALMENTE EM PAREDES INTERNAS DE AMBIENTES COM ÁREA MAIOR QUE 10M², E = 10MM, COM TALISCAS. AF_03/2024</v>
      </c>
      <c r="S54" s="123" t="str">
        <f ca="1">REFERENCIA.Unidade</f>
        <v>M2</v>
      </c>
      <c r="T54" s="124">
        <f ca="1">OFFSET(CÁLCULO!H$15,ROW($T54)-ROW(T$15),0)</f>
        <v>328.44</v>
      </c>
      <c r="U54" s="125">
        <f t="shared" ca="1" si="32"/>
        <v>29.15</v>
      </c>
      <c r="V54" s="126" t="s">
        <v>156</v>
      </c>
      <c r="W54" s="124">
        <f ca="1">IF($C54="S",ROUND(IF(TIPOORCAMENTO="Proposto",ORÇAMENTO.CustoUnitario*(1+$AH54),ORÇAMENTO.PrecoUnitarioLicitado),15-13*$AF$10),0)</f>
        <v>35.08</v>
      </c>
      <c r="X54" s="127">
        <f ca="1">IF($C54="S",IF(Import.TipoArredondamento&lt;&gt;"TransfereGOV",VTOTAL1,SUM(OFFSET(CÁLCULO!$AA$15,ROW($X54)-ROW($X$15),1):OFFSET(CÁLCULO!$AL$15,ROW($X54)-ROW($X$15),-1))),IF($C54=0,0,ROUND(SomaAgrup,15-13*$AF$11)))</f>
        <v>11521.68</v>
      </c>
      <c r="Y54" s="128" t="s">
        <v>245</v>
      </c>
      <c r="Z54" t="str">
        <f ca="1">IF(AND($C54="S",$X54&gt;0),IF(ISBLANK($Y54),"RA",LEFT($Y54,2)),"")</f>
        <v>RA</v>
      </c>
      <c r="AA54" s="129">
        <f ca="1">IF($C54="S",IF($Z54="CP",$X54,IF($Z54="RA",(($X54)*QCI!$AA$3),0)),SomaAgrup)</f>
        <v>11521.68</v>
      </c>
      <c r="AB54" s="130">
        <f t="shared" ref="AB54:AB69" ca="1" si="34">IF($C54="S",IF($Z54="OU",ROUND($X54,2),0),SomaAgrup)</f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" t="str">
        <f ca="1">IF(AND($C54="S",ORÇAMENTO.CodBarra&lt;&gt;""),IF(ORÇAMENTO.Fonte="",ORÇAMENTO.CodBarra,CONCATENATE(ORÇAMENTO.Fonte," ",ORÇAMENTO.CodBarra)))</f>
        <v>SINAPI 104958</v>
      </c>
      <c r="AF54" s="13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13990</v>
      </c>
      <c r="AG54" s="498">
        <f ca="1">ROUND(IF(DESONERACAO="sim",REFERENCIA.Desonerado,REFERENCIA.NaoDesonerado),2)</f>
        <v>29.15</v>
      </c>
      <c r="AH54" s="499">
        <f t="shared" ref="AH54:AH69" ca="1" si="35">ROUND(IF(ISNUMBER(ORÇAMENTO.OpcaoBDI),ORÇAMENTO.OpcaoBDI,IF(LEFT(ORÇAMENTO.OpcaoBDI,3)="BDI",HLOOKUP(ORÇAMENTO.OpcaoBDI,$F$4:$H$5,2,FALSE),0)),15-11*$AF$9)</f>
        <v>0.20349999999999999</v>
      </c>
      <c r="AJ54" s="501">
        <v>328.44</v>
      </c>
      <c r="AL54" s="527"/>
      <c r="AM54" s="381">
        <f t="shared" ca="1" si="0"/>
        <v>11521.68</v>
      </c>
      <c r="AN54" s="566">
        <f t="shared" ref="AN54:AN69" ca="1" si="36">ROUND(ORÇAMENTO.CustoUnitario*(1+$AH54),2)</f>
        <v>35.08</v>
      </c>
    </row>
    <row r="55" spans="1:40" ht="25.5" x14ac:dyDescent="0.2">
      <c r="A55" t="str">
        <f t="shared" si="33"/>
        <v>S</v>
      </c>
      <c r="B55">
        <f t="shared" ref="B55:B57" ca="1" si="37">IF(OR(C55="s",C55=0),OFFSET(B55,-1,0),C55)</f>
        <v>2</v>
      </c>
      <c r="C55" t="str">
        <f t="shared" ref="C55:C57" ca="1" si="38">IF(OFFSET(C55,-1,0)="L",1,IF(OFFSET(C55,-1,0)=1,2,IF(OR(A55="s",A55=0),"S",IF(AND(OFFSET(C55,-1,0)=2,A55=4),3,IF(AND(OR(OFFSET(C55,-1,0)="s",OFFSET(C55,-1,0)=0),A55&lt;&gt;"s",A55&gt;OFFSET(B55,-1,0)),OFFSET(B55,-1,0),A55)))))</f>
        <v>S</v>
      </c>
      <c r="D55">
        <f t="shared" ref="D55:D57" ca="1" si="39">IF(OR(C55="S",C55=0),0,IF(ISERROR(K55),J55,SMALL(J55:K55,1)))</f>
        <v>0</v>
      </c>
      <c r="E55">
        <f ca="1">IF($C55=1,OFFSET(E55,-1,0)+MAX(1,COUNTIF(QCI!$A$13:$A$24,OFFSET(ORÇAMENTO!E55,-1,0))),OFFSET(E55,-1,0))</f>
        <v>4</v>
      </c>
      <c r="F55">
        <f t="shared" ref="F55:F57" ca="1" si="40">IF($C55=1,0,IF($C55=2,OFFSET(F55,-1,0)+1,OFFSET(F55,-1,0)))</f>
        <v>1</v>
      </c>
      <c r="G55">
        <f t="shared" ref="G55:G57" ca="1" si="41">IF(AND($C55&lt;=2,$C55&lt;&gt;0),0,IF($C55=3,OFFSET(G55,-1,0)+1,OFFSET(G55,-1,0)))</f>
        <v>0</v>
      </c>
      <c r="H55">
        <f t="shared" ref="H55:H57" ca="1" si="42">IF(AND($C55&lt;=3,$C55&lt;&gt;0),0,IF($C55=4,OFFSET(H55,-1,0)+1,OFFSET(H55,-1,0)))</f>
        <v>0</v>
      </c>
      <c r="I55">
        <f t="shared" ref="I55:I57" ca="1" si="43">IF(AND($C55&lt;=4,$C55&lt;&gt;0),0,IF(AND($C55="S",$X55&gt;0),OFFSET(I55,-1,0)+1,OFFSET(I55,-1,0)))</f>
        <v>4</v>
      </c>
      <c r="J55">
        <f ca="1">IF(OR($C55="S",$C55=0),0,MATCH(0,OFFSET($D55,1,$C55,ROW($C$165)-ROW($C55)),0))</f>
        <v>0</v>
      </c>
      <c r="K55">
        <f ca="1">IF(OR($C55="S",$C55=0),0,MATCH(OFFSET($D55,0,$C55)+IF($C55&lt;&gt;1,1,COUNTIF(QCI!$A$13:$A$24,ORÇAMENTO!E55)),OFFSET($D55,1,$C55,ROW($C$165)-ROW($C55)),0))</f>
        <v>0</v>
      </c>
      <c r="L55" s="116" t="str">
        <f t="shared" ref="L55:L57" ca="1" si="44">IF(OR($X55&gt;0,$C55=1,$C55=2,$C55=3,$C55=4),"F","")</f>
        <v>F</v>
      </c>
      <c r="M55" s="117" t="s">
        <v>199</v>
      </c>
      <c r="N55" s="118" t="str">
        <f t="shared" ref="N55:N57" ca="1" si="45">CHOOSE(1+LOG(1+2*(C55=1)+4*(C55=2)+8*(C55=3)+16*(C55=4)+32*(C55="S"),2),"","Meta","Nível 2","Nível 3","Nível 4","Serviço")</f>
        <v>Serviço</v>
      </c>
      <c r="O55" s="119" t="str">
        <f t="shared" ref="O55:O57" ca="1" si="46">IF(OR($C55=0,$L55=""),"-",CONCATENATE(E55&amp;".",IF(AND($A$5&gt;=2,$C55&gt;=2),F55&amp;".",""),IF(AND($A$5&gt;=3,$C55&gt;=3),G55&amp;".",""),IF(AND($A$5&gt;=4,$C55&gt;=4),H55&amp;".",""),IF($C55="S",I55&amp;".","")))</f>
        <v>4.1.4.</v>
      </c>
      <c r="P55" s="120" t="s">
        <v>247</v>
      </c>
      <c r="Q55" s="121" t="s">
        <v>488</v>
      </c>
      <c r="R55" s="122" t="str">
        <f ca="1">IF($C55="S",REFERENCIA.Descricao,"(digite a descrição aqui)")</f>
        <v>CONTRAVERGA MOLDADA IN LOCO EM CONCRETO, ESPESSURA DE *15* CM. AF_03/2024</v>
      </c>
      <c r="S55" s="123" t="str">
        <f ca="1">REFERENCIA.Unidade</f>
        <v>M</v>
      </c>
      <c r="T55" s="124">
        <f ca="1">OFFSET(CÁLCULO!H$15,ROW($T55)-ROW(T$15),0)</f>
        <v>25.8</v>
      </c>
      <c r="U55" s="125">
        <f t="shared" ca="1" si="32"/>
        <v>66.400000000000006</v>
      </c>
      <c r="V55" s="126" t="s">
        <v>156</v>
      </c>
      <c r="W55" s="124">
        <f ca="1">IF($C55="S",ROUND(IF(TIPOORCAMENTO="Proposto",ORÇAMENTO.CustoUnitario*(1+$AH55),ORÇAMENTO.PrecoUnitarioLicitado),15-13*$AF$10),0)</f>
        <v>79.91</v>
      </c>
      <c r="X55" s="127">
        <f ca="1">IF($C55="S",IF(Import.TipoArredondamento&lt;&gt;"TransfereGOV",VTOTAL1,SUM(OFFSET(CÁLCULO!$AA$15,ROW($X55)-ROW($X$15),1):OFFSET(CÁLCULO!$AL$15,ROW($X55)-ROW($X$15),-1))),IF($C55=0,0,ROUND(SomaAgrup,15-13*$AF$11)))</f>
        <v>2061.6799999999998</v>
      </c>
      <c r="Y55" s="128" t="s">
        <v>245</v>
      </c>
      <c r="Z55" t="str">
        <f t="shared" ref="Z55:Z57" ca="1" si="47">IF(AND($C55="S",$X55&gt;0),IF(ISBLANK($Y55),"RA",LEFT($Y55,2)),"")</f>
        <v>RA</v>
      </c>
      <c r="AA55" s="129">
        <f ca="1">IF($C55="S",IF($Z55="CP",$X55,IF($Z55="RA",(($X55)*QCI!$AA$3),0)),SomaAgrup)</f>
        <v>2061.6799999999998</v>
      </c>
      <c r="AB55" s="130">
        <f t="shared" ca="1" si="34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" t="str">
        <f ca="1">IF(AND($C55="S",ORÇAMENTO.CodBarra&lt;&gt;""),IF(ORÇAMENTO.Fonte="",ORÇAMENTO.CodBarra,CONCATENATE(ORÇAMENTO.Fonte," ",ORÇAMENTO.CodBarra)))</f>
        <v>SINAPI 105029</v>
      </c>
      <c r="AF55" s="13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16453</v>
      </c>
      <c r="AG55" s="498">
        <f ca="1">ROUND(IF(DESONERACAO="sim",REFERENCIA.Desonerado,REFERENCIA.NaoDesonerado),2)</f>
        <v>66.400000000000006</v>
      </c>
      <c r="AH55" s="499">
        <f t="shared" ca="1" si="35"/>
        <v>0.20349999999999999</v>
      </c>
      <c r="AJ55" s="501">
        <v>25.8</v>
      </c>
      <c r="AL55" s="527"/>
      <c r="AM55" s="381">
        <f t="shared" ca="1" si="0"/>
        <v>2061.6799999999998</v>
      </c>
      <c r="AN55" s="566">
        <f t="shared" ca="1" si="36"/>
        <v>79.91</v>
      </c>
    </row>
    <row r="56" spans="1:40" ht="25.5" x14ac:dyDescent="0.2">
      <c r="A56" t="str">
        <f t="shared" si="33"/>
        <v>S</v>
      </c>
      <c r="B56">
        <f t="shared" ca="1" si="37"/>
        <v>2</v>
      </c>
      <c r="C56" t="str">
        <f t="shared" ca="1" si="38"/>
        <v>S</v>
      </c>
      <c r="D56">
        <f t="shared" ca="1" si="39"/>
        <v>0</v>
      </c>
      <c r="E56">
        <f ca="1">IF($C56=1,OFFSET(E56,-1,0)+MAX(1,COUNTIF(QCI!$A$13:$A$24,OFFSET(ORÇAMENTO!E56,-1,0))),OFFSET(E56,-1,0))</f>
        <v>4</v>
      </c>
      <c r="F56">
        <f t="shared" ca="1" si="40"/>
        <v>1</v>
      </c>
      <c r="G56">
        <f t="shared" ca="1" si="41"/>
        <v>0</v>
      </c>
      <c r="H56">
        <f t="shared" ca="1" si="42"/>
        <v>0</v>
      </c>
      <c r="I56">
        <f t="shared" ca="1" si="43"/>
        <v>5</v>
      </c>
      <c r="J56">
        <f ca="1">IF(OR($C56="S",$C56=0),0,MATCH(0,OFFSET($D56,1,$C56,ROW($C$165)-ROW($C56)),0))</f>
        <v>0</v>
      </c>
      <c r="K56">
        <f ca="1">IF(OR($C56="S",$C56=0),0,MATCH(OFFSET($D56,0,$C56)+IF($C56&lt;&gt;1,1,COUNTIF(QCI!$A$13:$A$24,ORÇAMENTO!E56)),OFFSET($D56,1,$C56,ROW($C$165)-ROW($C56)),0))</f>
        <v>0</v>
      </c>
      <c r="L56" s="116" t="str">
        <f t="shared" ca="1" si="44"/>
        <v>F</v>
      </c>
      <c r="M56" s="117" t="s">
        <v>199</v>
      </c>
      <c r="N56" s="118" t="str">
        <f t="shared" ca="1" si="45"/>
        <v>Serviço</v>
      </c>
      <c r="O56" s="119" t="str">
        <f t="shared" ca="1" si="46"/>
        <v>4.1.5.</v>
      </c>
      <c r="P56" s="120" t="s">
        <v>247</v>
      </c>
      <c r="Q56" s="121" t="s">
        <v>489</v>
      </c>
      <c r="R56" s="122" t="str">
        <f ca="1">IF($C56="S",REFERENCIA.Descricao,"(digite a descrição aqui)")</f>
        <v>VERGA MOLDADA IN LOCO EM CONCRETO, ESPESSURA DE *15* CM. AF_03/2024</v>
      </c>
      <c r="S56" s="123" t="str">
        <f ca="1">REFERENCIA.Unidade</f>
        <v>M</v>
      </c>
      <c r="T56" s="124">
        <f ca="1">OFFSET(CÁLCULO!H$15,ROW($T56)-ROW(T$15),0)</f>
        <v>13</v>
      </c>
      <c r="U56" s="125">
        <f t="shared" ca="1" si="32"/>
        <v>88.37</v>
      </c>
      <c r="V56" s="126" t="s">
        <v>156</v>
      </c>
      <c r="W56" s="124">
        <f ca="1">IF($C56="S",ROUND(IF(TIPOORCAMENTO="Proposto",ORÇAMENTO.CustoUnitario*(1+$AH56),ORÇAMENTO.PrecoUnitarioLicitado),15-13*$AF$10),0)</f>
        <v>106.35</v>
      </c>
      <c r="X56" s="127">
        <f ca="1">IF($C56="S",IF(Import.TipoArredondamento&lt;&gt;"TransfereGOV",VTOTAL1,SUM(OFFSET(CÁLCULO!$AA$15,ROW($X56)-ROW($X$15),1):OFFSET(CÁLCULO!$AL$15,ROW($X56)-ROW($X$15),-1))),IF($C56=0,0,ROUND(SomaAgrup,15-13*$AF$11)))</f>
        <v>1382.55</v>
      </c>
      <c r="Y56" s="128" t="s">
        <v>245</v>
      </c>
      <c r="Z56" t="str">
        <f t="shared" ca="1" si="47"/>
        <v>RA</v>
      </c>
      <c r="AA56" s="129">
        <f ca="1">IF($C56="S",IF($Z56="CP",$X56,IF($Z56="RA",(($X56)*QCI!$AA$3),0)),SomaAgrup)</f>
        <v>1382.55</v>
      </c>
      <c r="AB56" s="130">
        <f t="shared" ca="1" si="34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" t="str">
        <f ca="1">IF(AND($C56="S",ORÇAMENTO.CodBarra&lt;&gt;""),IF(ORÇAMENTO.Fonte="",ORÇAMENTO.CodBarra,CONCATENATE(ORÇAMENTO.Fonte," ",ORÇAMENTO.CodBarra)))</f>
        <v>SINAPI 105023</v>
      </c>
      <c r="AF56" s="13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16468</v>
      </c>
      <c r="AG56" s="498">
        <f ca="1">ROUND(IF(DESONERACAO="sim",REFERENCIA.Desonerado,REFERENCIA.NaoDesonerado),2)</f>
        <v>88.37</v>
      </c>
      <c r="AH56" s="499">
        <f t="shared" ca="1" si="35"/>
        <v>0.20349999999999999</v>
      </c>
      <c r="AJ56" s="501">
        <v>13</v>
      </c>
      <c r="AL56" s="527"/>
      <c r="AM56" s="381">
        <f t="shared" ca="1" si="0"/>
        <v>1382.55</v>
      </c>
      <c r="AN56" s="566">
        <f t="shared" ca="1" si="36"/>
        <v>106.35</v>
      </c>
    </row>
    <row r="57" spans="1:40" ht="51" x14ac:dyDescent="0.2">
      <c r="A57" t="str">
        <f t="shared" si="33"/>
        <v>S</v>
      </c>
      <c r="B57">
        <f t="shared" ca="1" si="37"/>
        <v>2</v>
      </c>
      <c r="C57" t="str">
        <f t="shared" ca="1" si="38"/>
        <v>S</v>
      </c>
      <c r="D57">
        <f t="shared" ca="1" si="39"/>
        <v>0</v>
      </c>
      <c r="E57">
        <f ca="1">IF($C57=1,OFFSET(E57,-1,0)+MAX(1,COUNTIF(QCI!$A$13:$A$24,OFFSET(ORÇAMENTO!E57,-1,0))),OFFSET(E57,-1,0))</f>
        <v>4</v>
      </c>
      <c r="F57">
        <f t="shared" ca="1" si="40"/>
        <v>1</v>
      </c>
      <c r="G57">
        <f t="shared" ca="1" si="41"/>
        <v>0</v>
      </c>
      <c r="H57">
        <f t="shared" ca="1" si="42"/>
        <v>0</v>
      </c>
      <c r="I57">
        <f t="shared" ca="1" si="43"/>
        <v>6</v>
      </c>
      <c r="J57">
        <f ca="1">IF(OR($C57="S",$C57=0),0,MATCH(0,OFFSET($D57,1,$C57,ROW($C$165)-ROW($C57)),0))</f>
        <v>0</v>
      </c>
      <c r="K57">
        <f ca="1">IF(OR($C57="S",$C57=0),0,MATCH(OFFSET($D57,0,$C57)+IF($C57&lt;&gt;1,1,COUNTIF(QCI!$A$13:$A$24,ORÇAMENTO!E57)),OFFSET($D57,1,$C57,ROW($C$165)-ROW($C57)),0))</f>
        <v>0</v>
      </c>
      <c r="L57" s="116" t="str">
        <f t="shared" ca="1" si="44"/>
        <v>F</v>
      </c>
      <c r="M57" s="117" t="s">
        <v>199</v>
      </c>
      <c r="N57" s="118" t="str">
        <f t="shared" ca="1" si="45"/>
        <v>Serviço</v>
      </c>
      <c r="O57" s="119" t="str">
        <f t="shared" ca="1" si="46"/>
        <v>4.1.6.</v>
      </c>
      <c r="P57" s="120" t="s">
        <v>247</v>
      </c>
      <c r="Q57" s="121" t="s">
        <v>490</v>
      </c>
      <c r="R57" s="122" t="str">
        <f ca="1">IF($C57="S",REFERENCIA.Descricao,"(digite a descrição aqui)")</f>
        <v>CHAPISCO APLICADO EM ALVENARIA (COM PRESENÇA DE VÃOS) E ESTRUTURAS DE CONCRETO DE FACHADA, COM EQUIPAMENTO DE PROJEÇÃO. ARGAMASSA TRAÇO 1:3 COM PREPARO EM BETONEIRA 400 L. AF_10/2022</v>
      </c>
      <c r="S57" s="123" t="str">
        <f ca="1">REFERENCIA.Unidade</f>
        <v>M2</v>
      </c>
      <c r="T57" s="124">
        <f ca="1">OFFSET(CÁLCULO!H$15,ROW($T57)-ROW(T$15),0)</f>
        <v>481.74</v>
      </c>
      <c r="U57" s="125">
        <f t="shared" ca="1" si="32"/>
        <v>8.01</v>
      </c>
      <c r="V57" s="126" t="s">
        <v>156</v>
      </c>
      <c r="W57" s="124">
        <f ca="1">IF($C57="S",ROUND(IF(TIPOORCAMENTO="Proposto",ORÇAMENTO.CustoUnitario*(1+$AH57),ORÇAMENTO.PrecoUnitarioLicitado),15-13*$AF$10),0)</f>
        <v>9.64</v>
      </c>
      <c r="X57" s="127">
        <f ca="1">IF($C57="S",IF(Import.TipoArredondamento&lt;&gt;"TransfereGOV",VTOTAL1,SUM(OFFSET(CÁLCULO!$AA$15,ROW($X57)-ROW($X$15),1):OFFSET(CÁLCULO!$AL$15,ROW($X57)-ROW($X$15),-1))),IF($C57=0,0,ROUND(SomaAgrup,15-13*$AF$11)))</f>
        <v>4643.97</v>
      </c>
      <c r="Y57" s="128" t="s">
        <v>245</v>
      </c>
      <c r="Z57" t="str">
        <f t="shared" ca="1" si="47"/>
        <v>RA</v>
      </c>
      <c r="AA57" s="129">
        <f ca="1">IF($C57="S",IF($Z57="CP",$X57,IF($Z57="RA",(($X57)*QCI!$AA$3),0)),SomaAgrup)</f>
        <v>4643.97</v>
      </c>
      <c r="AB57" s="130">
        <f t="shared" ca="1" si="34"/>
        <v>0</v>
      </c>
      <c r="AC57" s="131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IF(C57&lt;=CRONO.NivelExibicao,MAX($AD$15:OFFSET(AD57,-1,0))+IF($C57&lt;&gt;1,1,MAX(1,COUNTIF(QCI!$A$13:$A$24,OFFSET($E57,-1,0)))),"")</f>
        <v/>
      </c>
      <c r="AE57" s="7" t="str">
        <f ca="1">IF(AND($C57="S",ORÇAMENTO.CodBarra&lt;&gt;""),IF(ORÇAMENTO.Fonte="",ORÇAMENTO.CodBarra,CONCATENATE(ORÇAMENTO.Fonte," ",ORÇAMENTO.CodBarra)))</f>
        <v>SINAPI 87908</v>
      </c>
      <c r="AF57" s="13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7478</v>
      </c>
      <c r="AG57" s="498">
        <f ca="1">ROUND(IF(DESONERACAO="sim",REFERENCIA.Desonerado,REFERENCIA.NaoDesonerado),2)</f>
        <v>8.01</v>
      </c>
      <c r="AH57" s="499">
        <f t="shared" ca="1" si="35"/>
        <v>0.20349999999999999</v>
      </c>
      <c r="AJ57" s="501">
        <f>AJ53+AJ54</f>
        <v>481.74</v>
      </c>
      <c r="AL57" s="527"/>
      <c r="AM57" s="381">
        <f t="shared" ca="1" si="0"/>
        <v>4643.97</v>
      </c>
      <c r="AN57" s="566">
        <f t="shared" ca="1" si="36"/>
        <v>9.64</v>
      </c>
    </row>
    <row r="58" spans="1:40" x14ac:dyDescent="0.2">
      <c r="A58">
        <f>CHOOSE(1+LOG(1+2*(ORÇAMENTO.Nivel="Meta")+4*(ORÇAMENTO.Nivel="Nível 2")+8*(ORÇAMENTO.Nivel="Nível 3")+16*(ORÇAMENTO.Nivel="Nível 4")+32*(ORÇAMENTO.Nivel="Serviço"),2),0,1,2,3,4,"S")</f>
        <v>2</v>
      </c>
      <c r="B58">
        <f t="shared" ref="B58:B64" ca="1" si="48">IF(OR(C58="s",C58=0),OFFSET(B58,-1,0),C58)</f>
        <v>2</v>
      </c>
      <c r="C58">
        <f t="shared" ref="C58:C64" ca="1" si="49">IF(OFFSET(C58,-1,0)="L",1,IF(OFFSET(C58,-1,0)=1,2,IF(OR(A58="s",A58=0),"S",IF(AND(OFFSET(C58,-1,0)=2,A58=4),3,IF(AND(OR(OFFSET(C58,-1,0)="s",OFFSET(C58,-1,0)=0),A58&lt;&gt;"s",A58&gt;OFFSET(B58,-1,0)),OFFSET(B58,-1,0),A58)))))</f>
        <v>2</v>
      </c>
      <c r="D58">
        <f t="shared" ref="D58:D64" ca="1" si="50">IF(OR(C58="S",C58=0),0,IF(ISERROR(K58),J58,SMALL(J58:K58,1)))</f>
        <v>4</v>
      </c>
      <c r="E58">
        <f ca="1">IF($C58=1,OFFSET(E58,-1,0)+MAX(1,COUNTIF(QCI!$A$13:$A$24,OFFSET(ORÇAMENTO!E58,-1,0))),OFFSET(E58,-1,0))</f>
        <v>4</v>
      </c>
      <c r="F58">
        <f t="shared" ref="F58:F64" ca="1" si="51">IF($C58=1,0,IF($C58=2,OFFSET(F58,-1,0)+1,OFFSET(F58,-1,0)))</f>
        <v>2</v>
      </c>
      <c r="G58">
        <f t="shared" ref="G58:G64" ca="1" si="52">IF(AND($C58&lt;=2,$C58&lt;&gt;0),0,IF($C58=3,OFFSET(G58,-1,0)+1,OFFSET(G58,-1,0)))</f>
        <v>0</v>
      </c>
      <c r="H58">
        <f t="shared" ref="H58:H64" ca="1" si="53">IF(AND($C58&lt;=3,$C58&lt;&gt;0),0,IF($C58=4,OFFSET(H58,-1,0)+1,OFFSET(H58,-1,0)))</f>
        <v>0</v>
      </c>
      <c r="I58">
        <f t="shared" ref="I58:I64" ca="1" si="54">IF(AND($C58&lt;=4,$C58&lt;&gt;0),0,IF(AND($C58="S",$X58&gt;0),OFFSET(I58,-1,0)+1,OFFSET(I58,-1,0)))</f>
        <v>0</v>
      </c>
      <c r="J58">
        <f ca="1">IF(OR($C58="S",$C58=0),0,MATCH(0,OFFSET($D58,1,$C58,ROW($C$165)-ROW($C58)),0))</f>
        <v>12</v>
      </c>
      <c r="K58">
        <f ca="1">IF(OR($C58="S",$C58=0),0,MATCH(OFFSET($D58,0,$C58)+IF($C58&lt;&gt;1,1,COUNTIF(QCI!$A$13:$A$24,ORÇAMENTO!E58)),OFFSET($D58,1,$C58,ROW($C$165)-ROW($C58)),0))</f>
        <v>4</v>
      </c>
      <c r="L58" s="116" t="str">
        <f t="shared" ref="L58:L64" ca="1" si="55">IF(OR($X58&gt;0,$C58=1,$C58=2,$C58=3,$C58=4),"F","")</f>
        <v>F</v>
      </c>
      <c r="M58" s="117" t="s">
        <v>196</v>
      </c>
      <c r="N58" s="118" t="str">
        <f t="shared" ref="N58:N64" ca="1" si="56">CHOOSE(1+LOG(1+2*(C58=1)+4*(C58=2)+8*(C58=3)+16*(C58=4)+32*(C58="S"),2),"","Meta","Nível 2","Nível 3","Nível 4","Serviço")</f>
        <v>Nível 2</v>
      </c>
      <c r="O58" s="119" t="str">
        <f t="shared" ref="O58:O64" ca="1" si="57">IF(OR($C58=0,$L58=""),"-",CONCATENATE(E58&amp;".",IF(AND($A$5&gt;=2,$C58&gt;=2),F58&amp;".",""),IF(AND($A$5&gt;=3,$C58&gt;=3),G58&amp;".",""),IF(AND($A$5&gt;=4,$C58&gt;=4),H58&amp;".",""),IF($C58="S",I58&amp;".","")))</f>
        <v>4.2.</v>
      </c>
      <c r="P58" s="120" t="s">
        <v>247</v>
      </c>
      <c r="Q58" s="121"/>
      <c r="R58" s="122" t="s">
        <v>574</v>
      </c>
      <c r="S58" s="123" t="str">
        <f ca="1">REFERENCIA.Unidade</f>
        <v>-</v>
      </c>
      <c r="T58" s="124">
        <f ca="1">OFFSET(CÁLCULO!H$15,ROW($T58)-ROW(T$15),0)</f>
        <v>0</v>
      </c>
      <c r="U58" s="125"/>
      <c r="V58" s="126" t="s">
        <v>156</v>
      </c>
      <c r="W58" s="124">
        <f ca="1">IF($C58="S",ROUND(IF(TIPOORCAMENTO="Proposto",ORÇAMENTO.CustoUnitario*(1+$AH58),ORÇAMENTO.PrecoUnitarioLicitado),15-13*$AF$10),0)</f>
        <v>0</v>
      </c>
      <c r="X58" s="127">
        <f ca="1">IF($C58="S",IF(Import.TipoArredondamento&lt;&gt;"TransfereGOV",VTOTAL1,SUM(OFFSET(CÁLCULO!$AA$15,ROW($X58)-ROW($X$15),1):OFFSET(CÁLCULO!$AL$15,ROW($X58)-ROW($X$15),-1))),IF($C58=0,0,ROUND(SomaAgrup,15-13*$AF$11)))</f>
        <v>16008.71</v>
      </c>
      <c r="Y58" s="128" t="s">
        <v>245</v>
      </c>
      <c r="Z58" t="str">
        <f t="shared" ref="Z58:Z64" ca="1" si="58">IF(AND($C58="S",$X58&gt;0),IF(ISBLANK($Y58),"RA",LEFT($Y58,2)),"")</f>
        <v/>
      </c>
      <c r="AA58" s="129">
        <f ca="1">IF($C58="S",IF($Z58="CP",$X58,IF($Z58="RA",(($X58)*QCI!$AA$3),0)),SomaAgrup)</f>
        <v>16008.71</v>
      </c>
      <c r="AB58" s="130">
        <f ca="1">IF($C58="S",IF($Z58="OU",ROUND($X58,2),0),SomaAgrup)</f>
        <v>0</v>
      </c>
      <c r="AC58" s="131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>
        <f ca="1">IF(C58&lt;=CRONO.NivelExibicao,MAX($AD$15:OFFSET(AD58,-1,0))+IF($C58&lt;&gt;1,1,MAX(1,COUNTIF(QCI!$A$13:$A$24,OFFSET($E58,-1,0)))),"")</f>
        <v>12</v>
      </c>
      <c r="AE58" s="7" t="b">
        <f ca="1">IF(AND($C58="S",ORÇAMENTO.CodBarra&lt;&gt;""),IF(ORÇAMENTO.Fonte="",ORÇAMENTO.CodBarra,CONCATENATE(ORÇAMENTO.Fonte," ",ORÇAMENTO.CodBarra)))</f>
        <v>0</v>
      </c>
      <c r="AF58" s="13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(Sem Código)</v>
      </c>
      <c r="AG58" s="498">
        <f ca="1">ROUND(IF(DESONERACAO="sim",REFERENCIA.Desonerado,REFERENCIA.NaoDesonerado),2)</f>
        <v>0</v>
      </c>
      <c r="AH58" s="499">
        <f ca="1">ROUND(IF(ISNUMBER(ORÇAMENTO.OpcaoBDI),ORÇAMENTO.OpcaoBDI,IF(LEFT(ORÇAMENTO.OpcaoBDI,3)="BDI",HLOOKUP(ORÇAMENTO.OpcaoBDI,$F$4:$H$5,2,FALSE),0)),15-11*$AF$9)</f>
        <v>0.20349999999999999</v>
      </c>
      <c r="AJ58" s="501"/>
      <c r="AL58" s="527"/>
      <c r="AM58" s="381">
        <f t="shared" ca="1" si="0"/>
        <v>16008.71</v>
      </c>
      <c r="AN58" s="566">
        <f ca="1">ROUND(ORÇAMENTO.CustoUnitario*(1+$AH58),2)</f>
        <v>0</v>
      </c>
    </row>
    <row r="59" spans="1:40" ht="38.25" x14ac:dyDescent="0.2">
      <c r="A59" t="str">
        <f>CHOOSE(1+LOG(1+2*(ORÇAMENTO.Nivel="Meta")+4*(ORÇAMENTO.Nivel="Nível 2")+8*(ORÇAMENTO.Nivel="Nível 3")+16*(ORÇAMENTO.Nivel="Nível 4")+32*(ORÇAMENTO.Nivel="Serviço"),2),0,1,2,3,4,"S")</f>
        <v>S</v>
      </c>
      <c r="B59">
        <f t="shared" ca="1" si="48"/>
        <v>2</v>
      </c>
      <c r="C59" t="str">
        <f t="shared" ca="1" si="49"/>
        <v>S</v>
      </c>
      <c r="D59">
        <f t="shared" ca="1" si="50"/>
        <v>0</v>
      </c>
      <c r="E59">
        <f ca="1">IF($C59=1,OFFSET(E59,-1,0)+MAX(1,COUNTIF(QCI!$A$13:$A$24,OFFSET(ORÇAMENTO!E59,-1,0))),OFFSET(E59,-1,0))</f>
        <v>4</v>
      </c>
      <c r="F59">
        <f t="shared" ca="1" si="51"/>
        <v>2</v>
      </c>
      <c r="G59">
        <f t="shared" ca="1" si="52"/>
        <v>0</v>
      </c>
      <c r="H59">
        <f t="shared" ca="1" si="53"/>
        <v>0</v>
      </c>
      <c r="I59">
        <f t="shared" ca="1" si="54"/>
        <v>1</v>
      </c>
      <c r="J59">
        <f ca="1">IF(OR($C59="S",$C59=0),0,MATCH(0,OFFSET($D59,1,$C59,ROW($C$165)-ROW($C59)),0))</f>
        <v>0</v>
      </c>
      <c r="K59">
        <f ca="1">IF(OR($C59="S",$C59=0),0,MATCH(OFFSET($D59,0,$C59)+IF($C59&lt;&gt;1,1,COUNTIF(QCI!$A$13:$A$24,ORÇAMENTO!E59)),OFFSET($D59,1,$C59,ROW($C$165)-ROW($C59)),0))</f>
        <v>0</v>
      </c>
      <c r="L59" s="116" t="str">
        <f t="shared" ca="1" si="55"/>
        <v>F</v>
      </c>
      <c r="M59" s="117" t="s">
        <v>199</v>
      </c>
      <c r="N59" s="118" t="str">
        <f t="shared" ca="1" si="56"/>
        <v>Serviço</v>
      </c>
      <c r="O59" s="119" t="str">
        <f t="shared" ca="1" si="57"/>
        <v>4.2.1.</v>
      </c>
      <c r="P59" s="120" t="s">
        <v>247</v>
      </c>
      <c r="Q59" s="121" t="s">
        <v>482</v>
      </c>
      <c r="R59" s="122" t="str">
        <f ca="1">IF($C59="S",REFERENCIA.Descricao,"(digite a descrição aqui)")</f>
        <v>REVESTIMENTO CERÂMICO PARA PAREDES INTERNAS COM PLACAS TIPO ESMALTADA DE DIMENSÕES 33X45 CM APLICADAS NA ALTURA INTEIRA DAS PAREDES. AF_02/2023_PE</v>
      </c>
      <c r="S59" s="123" t="str">
        <f ca="1">REFERENCIA.Unidade</f>
        <v>M2</v>
      </c>
      <c r="T59" s="124">
        <f ca="1">OFFSET(CÁLCULO!H$15,ROW($T59)-ROW(T$15),0)</f>
        <v>28</v>
      </c>
      <c r="U59" s="125">
        <f t="shared" ca="1" si="32"/>
        <v>71.45</v>
      </c>
      <c r="V59" s="126" t="s">
        <v>156</v>
      </c>
      <c r="W59" s="124">
        <f ca="1">IF($C59="S",ROUND(IF(TIPOORCAMENTO="Proposto",ORÇAMENTO.CustoUnitario*(1+$AH59),ORÇAMENTO.PrecoUnitarioLicitado),15-13*$AF$10),0)</f>
        <v>85.99</v>
      </c>
      <c r="X59" s="127">
        <f ca="1">IF($C59="S",IF(Import.TipoArredondamento&lt;&gt;"TransfereGOV",VTOTAL1,SUM(OFFSET(CÁLCULO!$AA$15,ROW($X59)-ROW($X$15),1):OFFSET(CÁLCULO!$AL$15,ROW($X59)-ROW($X$15),-1))),IF($C59=0,0,ROUND(SomaAgrup,15-13*$AF$11)))</f>
        <v>2407.7199999999998</v>
      </c>
      <c r="Y59" s="128" t="s">
        <v>245</v>
      </c>
      <c r="Z59" t="str">
        <f t="shared" ca="1" si="58"/>
        <v>RA</v>
      </c>
      <c r="AA59" s="129">
        <f ca="1">IF($C59="S",IF($Z59="CP",$X59,IF($Z59="RA",(($X59)*QCI!$AA$3),0)),SomaAgrup)</f>
        <v>2407.7199999999998</v>
      </c>
      <c r="AB59" s="130">
        <f ca="1">IF($C59="S",IF($Z59="OU",ROUND($X59,2),0),SomaAgrup)</f>
        <v>0</v>
      </c>
      <c r="AC59" s="131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IF(C59&lt;=CRONO.NivelExibicao,MAX($AD$15:OFFSET(AD59,-1,0))+IF($C59&lt;&gt;1,1,MAX(1,COUNTIF(QCI!$A$13:$A$24,OFFSET($E59,-1,0)))),"")</f>
        <v/>
      </c>
      <c r="AE59" s="7" t="str">
        <f ca="1">IF(AND($C59="S",ORÇAMENTO.CodBarra&lt;&gt;""),IF(ORÇAMENTO.Fonte="",ORÇAMENTO.CodBarra,CONCATENATE(ORÇAMENTO.Fonte," ",ORÇAMENTO.CodBarra)))</f>
        <v>SINAPI 87273</v>
      </c>
      <c r="AF59" s="13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15544</v>
      </c>
      <c r="AG59" s="498">
        <f ca="1">ROUND(IF(DESONERACAO="sim",REFERENCIA.Desonerado,REFERENCIA.NaoDesonerado),2)</f>
        <v>71.45</v>
      </c>
      <c r="AH59" s="499">
        <f ca="1">ROUND(IF(ISNUMBER(ORÇAMENTO.OpcaoBDI),ORÇAMENTO.OpcaoBDI,IF(LEFT(ORÇAMENTO.OpcaoBDI,3)="BDI",HLOOKUP(ORÇAMENTO.OpcaoBDI,$F$4:$H$5,2,FALSE),0)),15-11*$AF$9)</f>
        <v>0.20349999999999999</v>
      </c>
      <c r="AJ59" s="501">
        <f>14+14</f>
        <v>28</v>
      </c>
      <c r="AL59" s="527"/>
      <c r="AM59" s="381">
        <f t="shared" ca="1" si="0"/>
        <v>2407.7199999999998</v>
      </c>
      <c r="AN59" s="566">
        <f ca="1">ROUND(ORÇAMENTO.CustoUnitario*(1+$AH59),2)</f>
        <v>85.99</v>
      </c>
    </row>
    <row r="60" spans="1:40" ht="38.25" x14ac:dyDescent="0.2">
      <c r="A60" t="str">
        <f>CHOOSE(1+LOG(1+2*(ORÇAMENTO.Nivel="Meta")+4*(ORÇAMENTO.Nivel="Nível 2")+8*(ORÇAMENTO.Nivel="Nível 3")+16*(ORÇAMENTO.Nivel="Nível 4")+32*(ORÇAMENTO.Nivel="Serviço"),2),0,1,2,3,4,"S")</f>
        <v>S</v>
      </c>
      <c r="B60">
        <f ca="1">IF(OR(C60="s",C60=0),OFFSET(B60,-1,0),C60)</f>
        <v>2</v>
      </c>
      <c r="C60" t="str">
        <f ca="1">IF(OFFSET(C60,-1,0)="L",1,IF(OFFSET(C60,-1,0)=1,2,IF(OR(A60="s",A60=0),"S",IF(AND(OFFSET(C60,-1,0)=2,A60=4),3,IF(AND(OR(OFFSET(C60,-1,0)="s",OFFSET(C60,-1,0)=0),A60&lt;&gt;"s",A60&gt;OFFSET(B60,-1,0)),OFFSET(B60,-1,0),A60)))))</f>
        <v>S</v>
      </c>
      <c r="D60">
        <f ca="1">IF(OR(C60="S",C60=0),0,IF(ISERROR(K60),J60,SMALL(J60:K60,1)))</f>
        <v>0</v>
      </c>
      <c r="E60">
        <f ca="1">IF($C60=1,OFFSET(E60,-1,0)+MAX(1,COUNTIF(QCI!$A$13:$A$24,OFFSET(ORÇAMENTO!E60,-1,0))),OFFSET(E60,-1,0))</f>
        <v>4</v>
      </c>
      <c r="F60">
        <f ca="1">IF($C60=1,0,IF($C60=2,OFFSET(F60,-1,0)+1,OFFSET(F60,-1,0)))</f>
        <v>2</v>
      </c>
      <c r="G60">
        <f ca="1">IF(AND($C60&lt;=2,$C60&lt;&gt;0),0,IF($C60=3,OFFSET(G60,-1,0)+1,OFFSET(G60,-1,0)))</f>
        <v>0</v>
      </c>
      <c r="H60">
        <f ca="1">IF(AND($C60&lt;=3,$C60&lt;&gt;0),0,IF($C60=4,OFFSET(H60,-1,0)+1,OFFSET(H60,-1,0)))</f>
        <v>0</v>
      </c>
      <c r="I60">
        <f ca="1">IF(AND($C60&lt;=4,$C60&lt;&gt;0),0,IF(AND($C60="S",$X60&gt;0),OFFSET(I60,-1,0)+1,OFFSET(I60,-1,0)))</f>
        <v>2</v>
      </c>
      <c r="J60">
        <f ca="1">IF(OR($C60="S",$C60=0),0,MATCH(0,OFFSET($D60,1,$C60,ROW($C$165)-ROW($C60)),0))</f>
        <v>0</v>
      </c>
      <c r="K60">
        <f ca="1">IF(OR($C60="S",$C60=0),0,MATCH(OFFSET($D60,0,$C60)+IF($C60&lt;&gt;1,1,COUNTIF(QCI!$A$13:$A$24,ORÇAMENTO!E60)),OFFSET($D60,1,$C60,ROW($C$165)-ROW($C60)),0))</f>
        <v>0</v>
      </c>
      <c r="L60" s="116" t="str">
        <f ca="1">IF(OR($X60&gt;0,$C60=1,$C60=2,$C60=3,$C60=4),"F","")</f>
        <v>F</v>
      </c>
      <c r="M60" s="117" t="s">
        <v>199</v>
      </c>
      <c r="N60" s="118" t="str">
        <f ca="1">CHOOSE(1+LOG(1+2*(C60=1)+4*(C60=2)+8*(C60=3)+16*(C60=4)+32*(C60="S"),2),"","Meta","Nível 2","Nível 3","Nível 4","Serviço")</f>
        <v>Serviço</v>
      </c>
      <c r="O60" s="119" t="str">
        <f ca="1">IF(OR($C60=0,$L60=""),"-",CONCATENATE(E60&amp;".",IF(AND($A$5&gt;=2,$C60&gt;=2),F60&amp;".",""),IF(AND($A$5&gt;=3,$C60&gt;=3),G60&amp;".",""),IF(AND($A$5&gt;=4,$C60&gt;=4),H60&amp;".",""),IF($C60="S",I60&amp;".","")))</f>
        <v>4.2.2.</v>
      </c>
      <c r="P60" s="120" t="s">
        <v>247</v>
      </c>
      <c r="Q60" s="121" t="s">
        <v>597</v>
      </c>
      <c r="R60" s="122" t="str">
        <f ca="1">IF($C60="S",REFERENCIA.Descricao,"(digite a descrição aqui)")</f>
        <v>REVESTIMENTO CERÂMICO PARA PAREDES INTERNAS COM PLACAS TIPO ESMALTADA DE DIMENSÕES 33X45 CM APLICADAS A MEIA ALTURA DAS PAREDES. AF_02/2023_PE</v>
      </c>
      <c r="S60" s="123" t="str">
        <f ca="1">REFERENCIA.Unidade</f>
        <v>M2</v>
      </c>
      <c r="T60" s="124">
        <f ca="1">OFFSET(CÁLCULO!H$15,ROW($T60)-ROW(T$15),0)</f>
        <v>119.42</v>
      </c>
      <c r="U60" s="125">
        <f t="shared" ca="1" si="32"/>
        <v>80.569999999999993</v>
      </c>
      <c r="V60" s="126" t="s">
        <v>156</v>
      </c>
      <c r="W60" s="124">
        <f ca="1">IF($C60="S",ROUND(IF(TIPOORCAMENTO="Proposto",ORÇAMENTO.CustoUnitario*(1+$AH60),ORÇAMENTO.PrecoUnitarioLicitado),15-13*$AF$10),0)</f>
        <v>96.97</v>
      </c>
      <c r="X60" s="127">
        <f ca="1">IF($C60="S",IF(Import.TipoArredondamento&lt;&gt;"TransfereGOV",VTOTAL1,SUM(OFFSET(CÁLCULO!$AA$15,ROW($X60)-ROW($X$15),1):OFFSET(CÁLCULO!$AL$15,ROW($X60)-ROW($X$15),-1))),IF($C60=0,0,ROUND(SomaAgrup,15-13*$AF$11)))</f>
        <v>11580.16</v>
      </c>
      <c r="Y60" s="128" t="s">
        <v>245</v>
      </c>
      <c r="Z60" t="str">
        <f ca="1">IF(AND($C60="S",$X60&gt;0),IF(ISBLANK($Y60),"RA",LEFT($Y60,2)),"")</f>
        <v>RA</v>
      </c>
      <c r="AA60" s="129">
        <f ca="1">IF($C60="S",IF($Z60="CP",$X60,IF($Z60="RA",(($X60)*QCI!$AA$3),0)),SomaAgrup)</f>
        <v>11580.16</v>
      </c>
      <c r="AB60" s="130">
        <f ca="1">IF($C60="S",IF($Z60="OU",ROUND($X60,2),0),SomaAgrup)</f>
        <v>0</v>
      </c>
      <c r="AC60" s="131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t="str">
        <f ca="1">IF(C60&lt;=CRONO.NivelExibicao,MAX($AD$15:OFFSET(AD60,-1,0))+IF($C60&lt;&gt;1,1,MAX(1,COUNTIF(QCI!$A$13:$A$24,OFFSET($E60,-1,0)))),"")</f>
        <v/>
      </c>
      <c r="AE60" s="7" t="str">
        <f ca="1">IF(AND($C60="S",ORÇAMENTO.CodBarra&lt;&gt;""),IF(ORÇAMENTO.Fonte="",ORÇAMENTO.CodBarra,CONCATENATE(ORÇAMENTO.Fonte," ",ORÇAMENTO.CodBarra)))</f>
        <v>SINAPI 87275</v>
      </c>
      <c r="AF60" s="13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15543</v>
      </c>
      <c r="AG60" s="498">
        <f ca="1">ROUND(IF(DESONERACAO="sim",REFERENCIA.Desonerado,REFERENCIA.NaoDesonerado),2)</f>
        <v>80.569999999999993</v>
      </c>
      <c r="AH60" s="499">
        <f ca="1">ROUND(IF(ISNUMBER(ORÇAMENTO.OpcaoBDI),ORÇAMENTO.OpcaoBDI,IF(LEFT(ORÇAMENTO.OpcaoBDI,3)="BDI",HLOOKUP(ORÇAMENTO.OpcaoBDI,$F$4:$H$5,2,FALSE),0)),15-11*$AF$9)</f>
        <v>0.20349999999999999</v>
      </c>
      <c r="AJ60" s="501">
        <f>3.5+19.6+7+8.96+7+8.96+19.6+44.8</f>
        <v>119.42</v>
      </c>
      <c r="AL60" s="527"/>
      <c r="AM60" s="381">
        <f t="shared" ca="1" si="0"/>
        <v>11580.16</v>
      </c>
      <c r="AN60" s="566">
        <f ca="1">ROUND(ORÇAMENTO.CustoUnitario*(1+$AH60),2)</f>
        <v>96.97</v>
      </c>
    </row>
    <row r="61" spans="1:40" x14ac:dyDescent="0.2">
      <c r="A61" t="str">
        <f>CHOOSE(1+LOG(1+2*(ORÇAMENTO.Nivel="Meta")+4*(ORÇAMENTO.Nivel="Nível 2")+8*(ORÇAMENTO.Nivel="Nível 3")+16*(ORÇAMENTO.Nivel="Nível 4")+32*(ORÇAMENTO.Nivel="Serviço"),2),0,1,2,3,4,"S")</f>
        <v>S</v>
      </c>
      <c r="B61">
        <f t="shared" ca="1" si="48"/>
        <v>2</v>
      </c>
      <c r="C61" t="str">
        <f t="shared" ca="1" si="49"/>
        <v>S</v>
      </c>
      <c r="D61">
        <f t="shared" ca="1" si="50"/>
        <v>0</v>
      </c>
      <c r="E61">
        <f ca="1">IF($C61=1,OFFSET(E61,-1,0)+MAX(1,COUNTIF(QCI!$A$13:$A$24,OFFSET(ORÇAMENTO!E61,-1,0))),OFFSET(E61,-1,0))</f>
        <v>4</v>
      </c>
      <c r="F61">
        <f t="shared" ca="1" si="51"/>
        <v>2</v>
      </c>
      <c r="G61">
        <f t="shared" ca="1" si="52"/>
        <v>0</v>
      </c>
      <c r="H61">
        <f t="shared" ca="1" si="53"/>
        <v>0</v>
      </c>
      <c r="I61">
        <f t="shared" ca="1" si="54"/>
        <v>3</v>
      </c>
      <c r="J61">
        <f ca="1">IF(OR($C61="S",$C61=0),0,MATCH(0,OFFSET($D61,1,$C61,ROW($C$165)-ROW($C61)),0))</f>
        <v>0</v>
      </c>
      <c r="K61">
        <f ca="1">IF(OR($C61="S",$C61=0),0,MATCH(OFFSET($D61,0,$C61)+IF($C61&lt;&gt;1,1,COUNTIF(QCI!$A$13:$A$24,ORÇAMENTO!E61)),OFFSET($D61,1,$C61,ROW($C$165)-ROW($C61)),0))</f>
        <v>0</v>
      </c>
      <c r="L61" s="116" t="str">
        <f t="shared" ca="1" si="55"/>
        <v>F</v>
      </c>
      <c r="M61" s="117" t="s">
        <v>199</v>
      </c>
      <c r="N61" s="118" t="str">
        <f t="shared" ca="1" si="56"/>
        <v>Serviço</v>
      </c>
      <c r="O61" s="119" t="str">
        <f t="shared" ca="1" si="57"/>
        <v>4.2.3.</v>
      </c>
      <c r="P61" s="120" t="s">
        <v>491</v>
      </c>
      <c r="Q61" s="121" t="s">
        <v>563</v>
      </c>
      <c r="R61" s="122" t="str">
        <f ca="1">IF($C61="S",REFERENCIA.Descricao,"(digite a descrição aqui)")</f>
        <v>REVESTIMENTO EM TIJOLO CERÂMICO REFRATÁRIO 2,5X11,40X22,90</v>
      </c>
      <c r="S61" s="123" t="str">
        <f ca="1">REFERENCIA.Unidade</f>
        <v>M2</v>
      </c>
      <c r="T61" s="124">
        <f ca="1">OFFSET(CÁLCULO!H$15,ROW($T61)-ROW(T$15),0)</f>
        <v>6.36</v>
      </c>
      <c r="U61" s="125">
        <f t="shared" ca="1" si="32"/>
        <v>264.01</v>
      </c>
      <c r="V61" s="126" t="s">
        <v>156</v>
      </c>
      <c r="W61" s="124">
        <f ca="1">IF($C61="S",ROUND(IF(TIPOORCAMENTO="Proposto",ORÇAMENTO.CustoUnitario*(1+$AH61),ORÇAMENTO.PrecoUnitarioLicitado),15-13*$AF$10),0)</f>
        <v>317.74</v>
      </c>
      <c r="X61" s="127">
        <f ca="1">IF($C61="S",IF(Import.TipoArredondamento&lt;&gt;"TransfereGOV",VTOTAL1,SUM(OFFSET(CÁLCULO!$AA$15,ROW($X61)-ROW($X$15),1):OFFSET(CÁLCULO!$AL$15,ROW($X61)-ROW($X$15),-1))),IF($C61=0,0,ROUND(SomaAgrup,15-13*$AF$11)))</f>
        <v>2020.83</v>
      </c>
      <c r="Y61" s="128" t="s">
        <v>245</v>
      </c>
      <c r="Z61" t="str">
        <f t="shared" ca="1" si="58"/>
        <v>RA</v>
      </c>
      <c r="AA61" s="129">
        <f ca="1">IF($C61="S",IF($Z61="CP",$X61,IF($Z61="RA",(($X61)*QCI!$AA$3),0)),SomaAgrup)</f>
        <v>2020.83</v>
      </c>
      <c r="AB61" s="130">
        <f ca="1">IF($C61="S",IF($Z61="OU",ROUND($X61,2),0),SomaAgrup)</f>
        <v>0</v>
      </c>
      <c r="AC61" s="131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t="str">
        <f ca="1">IF(C61&lt;=CRONO.NivelExibicao,MAX($AD$15:OFFSET(AD61,-1,0))+IF($C61&lt;&gt;1,1,MAX(1,COUNTIF(QCI!$A$13:$A$24,OFFSET($E61,-1,0)))),"")</f>
        <v/>
      </c>
      <c r="AE61" s="7" t="str">
        <f ca="1">IF(AND($C61="S",ORÇAMENTO.CodBarra&lt;&gt;""),IF(ORÇAMENTO.Fonte="",ORÇAMENTO.CodBarra,CONCATENATE(ORÇAMENTO.Fonte," ",ORÇAMENTO.CodBarra)))</f>
        <v>Composição 08</v>
      </c>
      <c r="AF61" s="13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10</v>
      </c>
      <c r="AG61" s="498">
        <f ca="1">ROUND(IF(DESONERACAO="sim",REFERENCIA.Desonerado,REFERENCIA.NaoDesonerado),2)</f>
        <v>264.01</v>
      </c>
      <c r="AH61" s="499">
        <f ca="1">ROUND(IF(ISNUMBER(ORÇAMENTO.OpcaoBDI),ORÇAMENTO.OpcaoBDI,IF(LEFT(ORÇAMENTO.OpcaoBDI,3)="BDI",HLOOKUP(ORÇAMENTO.OpcaoBDI,$F$4:$H$5,2,FALSE),0)),15-11*$AF$9)</f>
        <v>0.20349999999999999</v>
      </c>
      <c r="AJ61" s="501">
        <v>6.36</v>
      </c>
      <c r="AL61" s="527"/>
      <c r="AM61" s="381">
        <f t="shared" ca="1" si="0"/>
        <v>2020.83</v>
      </c>
      <c r="AN61" s="566">
        <f ca="1">ROUND(ORÇAMENTO.CustoUnitario*(1+$AH61),2)</f>
        <v>317.74</v>
      </c>
    </row>
    <row r="62" spans="1:40" x14ac:dyDescent="0.2">
      <c r="A62">
        <f t="shared" si="33"/>
        <v>2</v>
      </c>
      <c r="B62">
        <f t="shared" ca="1" si="48"/>
        <v>2</v>
      </c>
      <c r="C62">
        <f t="shared" ca="1" si="49"/>
        <v>2</v>
      </c>
      <c r="D62">
        <f t="shared" ca="1" si="50"/>
        <v>5</v>
      </c>
      <c r="E62">
        <f ca="1">IF($C62=1,OFFSET(E62,-1,0)+MAX(1,COUNTIF(QCI!$A$13:$A$24,OFFSET(ORÇAMENTO!E62,-1,0))),OFFSET(E62,-1,0))</f>
        <v>4</v>
      </c>
      <c r="F62">
        <f t="shared" ca="1" si="51"/>
        <v>3</v>
      </c>
      <c r="G62">
        <f t="shared" ca="1" si="52"/>
        <v>0</v>
      </c>
      <c r="H62">
        <f t="shared" ca="1" si="53"/>
        <v>0</v>
      </c>
      <c r="I62">
        <f t="shared" ca="1" si="54"/>
        <v>0</v>
      </c>
      <c r="J62">
        <f ca="1">IF(OR($C62="S",$C62=0),0,MATCH(0,OFFSET($D62,1,$C62,ROW($C$165)-ROW($C62)),0))</f>
        <v>8</v>
      </c>
      <c r="K62">
        <f ca="1">IF(OR($C62="S",$C62=0),0,MATCH(OFFSET($D62,0,$C62)+IF($C62&lt;&gt;1,1,COUNTIF(QCI!$A$13:$A$24,ORÇAMENTO!E62)),OFFSET($D62,1,$C62,ROW($C$165)-ROW($C62)),0))</f>
        <v>5</v>
      </c>
      <c r="L62" s="116" t="str">
        <f t="shared" ca="1" si="55"/>
        <v>F</v>
      </c>
      <c r="M62" s="117" t="s">
        <v>196</v>
      </c>
      <c r="N62" s="118" t="str">
        <f t="shared" ca="1" si="56"/>
        <v>Nível 2</v>
      </c>
      <c r="O62" s="119" t="str">
        <f t="shared" ca="1" si="57"/>
        <v>4.3.</v>
      </c>
      <c r="P62" s="120" t="s">
        <v>247</v>
      </c>
      <c r="Q62" s="121"/>
      <c r="R62" s="122" t="s">
        <v>472</v>
      </c>
      <c r="S62" s="123" t="str">
        <f ca="1">REFERENCIA.Unidade</f>
        <v>-</v>
      </c>
      <c r="T62" s="124">
        <f ca="1">OFFSET(CÁLCULO!H$15,ROW($T62)-ROW(T$15),0)</f>
        <v>0</v>
      </c>
      <c r="U62" s="125"/>
      <c r="V62" s="126" t="s">
        <v>156</v>
      </c>
      <c r="W62" s="124">
        <f ca="1">IF($C62="S",ROUND(IF(TIPOORCAMENTO="Proposto",ORÇAMENTO.CustoUnitario*(1+$AH62),ORÇAMENTO.PrecoUnitarioLicitado),15-13*$AF$10),0)</f>
        <v>0</v>
      </c>
      <c r="X62" s="127">
        <f ca="1">IF($C62="S",IF(Import.TipoArredondamento&lt;&gt;"TransfereGOV",VTOTAL1,SUM(OFFSET(CÁLCULO!$AA$15,ROW($X62)-ROW($X$15),1):OFFSET(CÁLCULO!$AL$15,ROW($X62)-ROW($X$15),-1))),IF($C62=0,0,ROUND(SomaAgrup,15-13*$AF$11)))</f>
        <v>22185.47</v>
      </c>
      <c r="Y62" s="128" t="s">
        <v>245</v>
      </c>
      <c r="Z62" t="str">
        <f t="shared" ca="1" si="58"/>
        <v/>
      </c>
      <c r="AA62" s="129">
        <f ca="1">IF($C62="S",IF($Z62="CP",$X62,IF($Z62="RA",(($X62)*QCI!$AA$3),0)),SomaAgrup)</f>
        <v>22185.47</v>
      </c>
      <c r="AB62" s="130">
        <f t="shared" ca="1" si="34"/>
        <v>0</v>
      </c>
      <c r="AC62" s="131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>
        <f ca="1">IF(C62&lt;=CRONO.NivelExibicao,MAX($AD$15:OFFSET(AD62,-1,0))+IF($C62&lt;&gt;1,1,MAX(1,COUNTIF(QCI!$A$13:$A$24,OFFSET($E62,-1,0)))),"")</f>
        <v>13</v>
      </c>
      <c r="AE62" s="7" t="b">
        <f ca="1">IF(AND($C62="S",ORÇAMENTO.CodBarra&lt;&gt;""),IF(ORÇAMENTO.Fonte="",ORÇAMENTO.CodBarra,CONCATENATE(ORÇAMENTO.Fonte," ",ORÇAMENTO.CodBarra)))</f>
        <v>0</v>
      </c>
      <c r="AF62" s="13" t="str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(Sem Código)</v>
      </c>
      <c r="AG62" s="498">
        <f ca="1">ROUND(IF(DESONERACAO="sim",REFERENCIA.Desonerado,REFERENCIA.NaoDesonerado),2)</f>
        <v>0</v>
      </c>
      <c r="AH62" s="499">
        <f t="shared" ca="1" si="35"/>
        <v>0.20349999999999999</v>
      </c>
      <c r="AJ62" s="501"/>
      <c r="AL62" s="527"/>
      <c r="AM62" s="381">
        <f t="shared" ca="1" si="0"/>
        <v>22185.47</v>
      </c>
      <c r="AN62" s="566">
        <f t="shared" ca="1" si="36"/>
        <v>0</v>
      </c>
    </row>
    <row r="63" spans="1:40" ht="38.25" x14ac:dyDescent="0.2">
      <c r="A63" t="str">
        <f t="shared" si="33"/>
        <v>S</v>
      </c>
      <c r="B63">
        <f t="shared" ca="1" si="48"/>
        <v>2</v>
      </c>
      <c r="C63" t="str">
        <f t="shared" ca="1" si="49"/>
        <v>S</v>
      </c>
      <c r="D63">
        <f t="shared" ca="1" si="50"/>
        <v>0</v>
      </c>
      <c r="E63">
        <f ca="1">IF($C63=1,OFFSET(E63,-1,0)+MAX(1,COUNTIF(QCI!$A$13:$A$24,OFFSET(ORÇAMENTO!E63,-1,0))),OFFSET(E63,-1,0))</f>
        <v>4</v>
      </c>
      <c r="F63">
        <f t="shared" ca="1" si="51"/>
        <v>3</v>
      </c>
      <c r="G63">
        <f t="shared" ca="1" si="52"/>
        <v>0</v>
      </c>
      <c r="H63">
        <f t="shared" ca="1" si="53"/>
        <v>0</v>
      </c>
      <c r="I63">
        <f t="shared" ca="1" si="54"/>
        <v>1</v>
      </c>
      <c r="J63">
        <f ca="1">IF(OR($C63="S",$C63=0),0,MATCH(0,OFFSET($D63,1,$C63,ROW($C$165)-ROW($C63)),0))</f>
        <v>0</v>
      </c>
      <c r="K63">
        <f ca="1">IF(OR($C63="S",$C63=0),0,MATCH(OFFSET($D63,0,$C63)+IF($C63&lt;&gt;1,1,COUNTIF(QCI!$A$13:$A$24,ORÇAMENTO!E63)),OFFSET($D63,1,$C63,ROW($C$165)-ROW($C63)),0))</f>
        <v>0</v>
      </c>
      <c r="L63" s="116" t="str">
        <f t="shared" ca="1" si="55"/>
        <v>F</v>
      </c>
      <c r="M63" s="117" t="s">
        <v>199</v>
      </c>
      <c r="N63" s="118" t="str">
        <f t="shared" ca="1" si="56"/>
        <v>Serviço</v>
      </c>
      <c r="O63" s="119" t="str">
        <f t="shared" ca="1" si="57"/>
        <v>4.3.1.</v>
      </c>
      <c r="P63" s="120" t="s">
        <v>247</v>
      </c>
      <c r="Q63" s="121" t="s">
        <v>554</v>
      </c>
      <c r="R63" s="122" t="str">
        <f ca="1">IF($C63="S",REFERENCIA.Descricao,"(digite a descrição aqui)")</f>
        <v>PORTA EM AÇO DE ABRIR PARA VIDRO SEM GUARNIÇÃO, 90X210CM, FIXAÇÃO COM PARAFUSOS, EXCLUSIVE VIDROS - FORNECIMENTO E INSTALAÇÃO. AF_10/2025</v>
      </c>
      <c r="S63" s="123" t="str">
        <f ca="1">REFERENCIA.Unidade</f>
        <v>UN</v>
      </c>
      <c r="T63" s="124">
        <f ca="1">OFFSET(CÁLCULO!H$15,ROW($T63)-ROW(T$15),0)</f>
        <v>7</v>
      </c>
      <c r="U63" s="125">
        <f ca="1">AG63</f>
        <v>739.3</v>
      </c>
      <c r="V63" s="126" t="s">
        <v>156</v>
      </c>
      <c r="W63" s="124">
        <f ca="1">IF($C63="S",ROUND(IF(TIPOORCAMENTO="Proposto",ORÇAMENTO.CustoUnitario*(1+$AH63),ORÇAMENTO.PrecoUnitarioLicitado),15-13*$AF$10),0)</f>
        <v>889.75</v>
      </c>
      <c r="X63" s="127">
        <f ca="1">IF($C63="S",IF(Import.TipoArredondamento&lt;&gt;"TransfereGOV",VTOTAL1,SUM(OFFSET(CÁLCULO!$AA$15,ROW($X63)-ROW($X$15),1):OFFSET(CÁLCULO!$AL$15,ROW($X63)-ROW($X$15),-1))),IF($C63=0,0,ROUND(SomaAgrup,15-13*$AF$11)))</f>
        <v>6228.25</v>
      </c>
      <c r="Y63" s="128" t="s">
        <v>245</v>
      </c>
      <c r="Z63" t="str">
        <f t="shared" ca="1" si="58"/>
        <v>RA</v>
      </c>
      <c r="AA63" s="129">
        <f ca="1">IF($C63="S",IF($Z63="CP",$X63,IF($Z63="RA",(($X63)*QCI!$AA$3),0)),SomaAgrup)</f>
        <v>6228.25</v>
      </c>
      <c r="AB63" s="130">
        <f t="shared" ca="1" si="34"/>
        <v>0</v>
      </c>
      <c r="AC63" s="131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t="str">
        <f ca="1">IF(C63&lt;=CRONO.NivelExibicao,MAX($AD$15:OFFSET(AD63,-1,0))+IF($C63&lt;&gt;1,1,MAX(1,COUNTIF(QCI!$A$13:$A$24,OFFSET($E63,-1,0)))),"")</f>
        <v/>
      </c>
      <c r="AE63" s="7" t="str">
        <f ca="1">IF(AND($C63="S",ORÇAMENTO.CodBarra&lt;&gt;""),IF(ORÇAMENTO.Fonte="",ORÇAMENTO.CodBarra,CONCATENATE(ORÇAMENTO.Fonte," ",ORÇAMENTO.CodBarra)))</f>
        <v>SINAPI 94806</v>
      </c>
      <c r="AF63" s="13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9967</v>
      </c>
      <c r="AG63" s="498">
        <f ca="1">ROUND(IF(DESONERACAO="sim",REFERENCIA.Desonerado,REFERENCIA.NaoDesonerado),2)</f>
        <v>739.3</v>
      </c>
      <c r="AH63" s="499">
        <f t="shared" ca="1" si="35"/>
        <v>0.20349999999999999</v>
      </c>
      <c r="AJ63" s="501">
        <v>7</v>
      </c>
      <c r="AL63" s="527"/>
      <c r="AM63" s="381">
        <f t="shared" ca="1" si="0"/>
        <v>6228.25</v>
      </c>
      <c r="AN63" s="566">
        <f t="shared" ca="1" si="36"/>
        <v>889.75</v>
      </c>
    </row>
    <row r="64" spans="1:40" ht="38.25" x14ac:dyDescent="0.2">
      <c r="A64" t="str">
        <f>CHOOSE(1+LOG(1+2*(ORÇAMENTO.Nivel="Meta")+4*(ORÇAMENTO.Nivel="Nível 2")+8*(ORÇAMENTO.Nivel="Nível 3")+16*(ORÇAMENTO.Nivel="Nível 4")+32*(ORÇAMENTO.Nivel="Serviço"),2),0,1,2,3,4,"S")</f>
        <v>S</v>
      </c>
      <c r="B64">
        <f t="shared" ca="1" si="48"/>
        <v>2</v>
      </c>
      <c r="C64" t="str">
        <f t="shared" ca="1" si="49"/>
        <v>S</v>
      </c>
      <c r="D64">
        <f t="shared" ca="1" si="50"/>
        <v>0</v>
      </c>
      <c r="E64">
        <f ca="1">IF($C64=1,OFFSET(E64,-1,0)+MAX(1,COUNTIF(QCI!$A$13:$A$24,OFFSET(ORÇAMENTO!E64,-1,0))),OFFSET(E64,-1,0))</f>
        <v>4</v>
      </c>
      <c r="F64">
        <f t="shared" ca="1" si="51"/>
        <v>3</v>
      </c>
      <c r="G64">
        <f t="shared" ca="1" si="52"/>
        <v>0</v>
      </c>
      <c r="H64">
        <f t="shared" ca="1" si="53"/>
        <v>0</v>
      </c>
      <c r="I64">
        <f t="shared" ca="1" si="54"/>
        <v>2</v>
      </c>
      <c r="J64">
        <f ca="1">IF(OR($C64="S",$C64=0),0,MATCH(0,OFFSET($D64,1,$C64,ROW($C$165)-ROW($C64)),0))</f>
        <v>0</v>
      </c>
      <c r="K64">
        <f ca="1">IF(OR($C64="S",$C64=0),0,MATCH(OFFSET($D64,0,$C64)+IF($C64&lt;&gt;1,1,COUNTIF(QCI!$A$13:$A$24,ORÇAMENTO!E64)),OFFSET($D64,1,$C64,ROW($C$165)-ROW($C64)),0))</f>
        <v>0</v>
      </c>
      <c r="L64" s="116" t="str">
        <f t="shared" ca="1" si="55"/>
        <v>F</v>
      </c>
      <c r="M64" s="117" t="s">
        <v>199</v>
      </c>
      <c r="N64" s="118" t="str">
        <f t="shared" ca="1" si="56"/>
        <v>Serviço</v>
      </c>
      <c r="O64" s="119" t="str">
        <f t="shared" ca="1" si="57"/>
        <v>4.3.2.</v>
      </c>
      <c r="P64" s="120" t="s">
        <v>247</v>
      </c>
      <c r="Q64" s="121" t="s">
        <v>476</v>
      </c>
      <c r="R64" s="122" t="str">
        <f ca="1">IF($C64="S",REFERENCIA.Descricao,"(digite a descrição aqui)")</f>
        <v>PORTA EM ALUMÍNIO DE ABRIR TIPO VENEZIANA COM GUARNIÇÃO, FIXAÇÃO COM PARAFUSOS - FORNECIMENTO E INSTALAÇÃO. AF_10/2025</v>
      </c>
      <c r="S64" s="123" t="str">
        <f ca="1">REFERENCIA.Unidade</f>
        <v>M2</v>
      </c>
      <c r="T64" s="124">
        <f ca="1">OFFSET(CÁLCULO!H$15,ROW($T64)-ROW(T$15),0)</f>
        <v>6.3</v>
      </c>
      <c r="U64" s="125">
        <f ca="1">AG64</f>
        <v>996.89</v>
      </c>
      <c r="V64" s="126" t="s">
        <v>156</v>
      </c>
      <c r="W64" s="124">
        <f ca="1">IF($C64="S",ROUND(IF(TIPOORCAMENTO="Proposto",ORÇAMENTO.CustoUnitario*(1+$AH64),ORÇAMENTO.PrecoUnitarioLicitado),15-13*$AF$10),0)</f>
        <v>1199.76</v>
      </c>
      <c r="X64" s="127">
        <f ca="1">IF($C64="S",IF(Import.TipoArredondamento&lt;&gt;"TransfereGOV",VTOTAL1,SUM(OFFSET(CÁLCULO!$AA$15,ROW($X64)-ROW($X$15),1):OFFSET(CÁLCULO!$AL$15,ROW($X64)-ROW($X$15),-1))),IF($C64=0,0,ROUND(SomaAgrup,15-13*$AF$11)))</f>
        <v>7558.49</v>
      </c>
      <c r="Y64" s="128" t="s">
        <v>245</v>
      </c>
      <c r="Z64" t="str">
        <f t="shared" ca="1" si="58"/>
        <v>RA</v>
      </c>
      <c r="AA64" s="129">
        <f ca="1">IF($C64="S",IF($Z64="CP",$X64,IF($Z64="RA",(($X64)*QCI!$AA$3),0)),SomaAgrup)</f>
        <v>7558.49</v>
      </c>
      <c r="AB64" s="130">
        <f ca="1">IF($C64="S",IF($Z64="OU",ROUND($X64,2),0),SomaAgrup)</f>
        <v>0</v>
      </c>
      <c r="AC64" s="131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t="str">
        <f ca="1">IF(C64&lt;=CRONO.NivelExibicao,MAX($AD$15:OFFSET(AD64,-1,0))+IF($C64&lt;&gt;1,1,MAX(1,COUNTIF(QCI!$A$13:$A$24,OFFSET($E64,-1,0)))),"")</f>
        <v/>
      </c>
      <c r="AE64" s="7" t="str">
        <f ca="1">IF(AND($C64="S",ORÇAMENTO.CodBarra&lt;&gt;""),IF(ORÇAMENTO.Fonte="",ORÇAMENTO.CodBarra,CONCATENATE(ORÇAMENTO.Fonte," ",ORÇAMENTO.CodBarra)))</f>
        <v>SINAPI 91341</v>
      </c>
      <c r="AF64" s="13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9966</v>
      </c>
      <c r="AG64" s="498">
        <f ca="1">ROUND(IF(DESONERACAO="sim",REFERENCIA.Desonerado,REFERENCIA.NaoDesonerado),2)</f>
        <v>996.89</v>
      </c>
      <c r="AH64" s="499">
        <f ca="1">ROUND(IF(ISNUMBER(ORÇAMENTO.OpcaoBDI),ORÇAMENTO.OpcaoBDI,IF(LEFT(ORÇAMENTO.OpcaoBDI,3)="BDI",HLOOKUP(ORÇAMENTO.OpcaoBDI,$F$4:$H$5,2,FALSE),0)),15-11*$AF$9)</f>
        <v>0.20349999999999999</v>
      </c>
      <c r="AJ64" s="501">
        <f>(0.7*2.1*2)+(0.8*2.1*2)</f>
        <v>6.3000000000000007</v>
      </c>
      <c r="AL64" s="527"/>
      <c r="AM64" s="381">
        <f t="shared" ca="1" si="0"/>
        <v>7558.49</v>
      </c>
      <c r="AN64" s="566">
        <f ca="1">ROUND(ORÇAMENTO.CustoUnitario*(1+$AH64),2)</f>
        <v>1199.76</v>
      </c>
    </row>
    <row r="65" spans="1:40" ht="76.5" x14ac:dyDescent="0.2">
      <c r="A65" t="str">
        <f t="shared" si="33"/>
        <v>S</v>
      </c>
      <c r="B65">
        <f t="shared" ref="B65:B69" ca="1" si="59">IF(OR(C65="s",C65=0),OFFSET(B65,-1,0),C65)</f>
        <v>2</v>
      </c>
      <c r="C65" t="str">
        <f t="shared" ref="C65:C69" ca="1" si="60">IF(OFFSET(C65,-1,0)="L",1,IF(OFFSET(C65,-1,0)=1,2,IF(OR(A65="s",A65=0),"S",IF(AND(OFFSET(C65,-1,0)=2,A65=4),3,IF(AND(OR(OFFSET(C65,-1,0)="s",OFFSET(C65,-1,0)=0),A65&lt;&gt;"s",A65&gt;OFFSET(B65,-1,0)),OFFSET(B65,-1,0),A65)))))</f>
        <v>S</v>
      </c>
      <c r="D65">
        <f t="shared" ref="D65:D69" ca="1" si="61">IF(OR(C65="S",C65=0),0,IF(ISERROR(K65),J65,SMALL(J65:K65,1)))</f>
        <v>0</v>
      </c>
      <c r="E65">
        <f ca="1">IF($C65=1,OFFSET(E65,-1,0)+MAX(1,COUNTIF(QCI!$A$13:$A$24,OFFSET(ORÇAMENTO!E65,-1,0))),OFFSET(E65,-1,0))</f>
        <v>4</v>
      </c>
      <c r="F65">
        <f t="shared" ref="F65:F69" ca="1" si="62">IF($C65=1,0,IF($C65=2,OFFSET(F65,-1,0)+1,OFFSET(F65,-1,0)))</f>
        <v>3</v>
      </c>
      <c r="G65">
        <f t="shared" ref="G65:G69" ca="1" si="63">IF(AND($C65&lt;=2,$C65&lt;&gt;0),0,IF($C65=3,OFFSET(G65,-1,0)+1,OFFSET(G65,-1,0)))</f>
        <v>0</v>
      </c>
      <c r="H65">
        <f t="shared" ref="H65:H69" ca="1" si="64">IF(AND($C65&lt;=3,$C65&lt;&gt;0),0,IF($C65=4,OFFSET(H65,-1,0)+1,OFFSET(H65,-1,0)))</f>
        <v>0</v>
      </c>
      <c r="I65">
        <f t="shared" ref="I65:I69" ca="1" si="65">IF(AND($C65&lt;=4,$C65&lt;&gt;0),0,IF(AND($C65="S",$X65&gt;0),OFFSET(I65,-1,0)+1,OFFSET(I65,-1,0)))</f>
        <v>3</v>
      </c>
      <c r="J65">
        <f ca="1">IF(OR($C65="S",$C65=0),0,MATCH(0,OFFSET($D65,1,$C65,ROW($C$165)-ROW($C65)),0))</f>
        <v>0</v>
      </c>
      <c r="K65">
        <f ca="1">IF(OR($C65="S",$C65=0),0,MATCH(OFFSET($D65,0,$C65)+IF($C65&lt;&gt;1,1,COUNTIF(QCI!$A$13:$A$24,ORÇAMENTO!E65)),OFFSET($D65,1,$C65,ROW($C$165)-ROW($C65)),0))</f>
        <v>0</v>
      </c>
      <c r="L65" s="116" t="str">
        <f t="shared" ref="L65:L69" ca="1" si="66">IF(OR($X65&gt;0,$C65=1,$C65=2,$C65=3,$C65=4),"F","")</f>
        <v>F</v>
      </c>
      <c r="M65" s="117" t="s">
        <v>199</v>
      </c>
      <c r="N65" s="118" t="str">
        <f t="shared" ref="N65:N69" ca="1" si="67">CHOOSE(1+LOG(1+2*(C65=1)+4*(C65=2)+8*(C65=3)+16*(C65=4)+32*(C65="S"),2),"","Meta","Nível 2","Nível 3","Nível 4","Serviço")</f>
        <v>Serviço</v>
      </c>
      <c r="O65" s="119" t="str">
        <f t="shared" ref="O65:O69" ca="1" si="68">IF(OR($C65=0,$L65=""),"-",CONCATENATE(E65&amp;".",IF(AND($A$5&gt;=2,$C65&gt;=2),F65&amp;".",""),IF(AND($A$5&gt;=3,$C65&gt;=3),G65&amp;".",""),IF(AND($A$5&gt;=4,$C65&gt;=4),H65&amp;".",""),IF($C65="S",I65&amp;".","")))</f>
        <v>4.3.3.</v>
      </c>
      <c r="P65" s="120" t="s">
        <v>247</v>
      </c>
      <c r="Q65" s="121" t="s">
        <v>477</v>
      </c>
      <c r="R65" s="122" t="str">
        <f ca="1">IF($C65="S",REFERENCIA.Descricao,"(digite a descrição aqui)")</f>
        <v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v>
      </c>
      <c r="S65" s="123" t="str">
        <f ca="1">REFERENCIA.Unidade</f>
        <v>M2</v>
      </c>
      <c r="T65" s="124">
        <f ca="1">OFFSET(CÁLCULO!H$15,ROW($T65)-ROW(T$15),0)</f>
        <v>6.48</v>
      </c>
      <c r="U65" s="125">
        <f t="shared" ref="U65:U71" ca="1" si="69">AG65</f>
        <v>575.85</v>
      </c>
      <c r="V65" s="126" t="s">
        <v>156</v>
      </c>
      <c r="W65" s="124">
        <f ca="1">IF($C65="S",ROUND(IF(TIPOORCAMENTO="Proposto",ORÇAMENTO.CustoUnitario*(1+$AH65),ORÇAMENTO.PrecoUnitarioLicitado),15-13*$AF$10),0)</f>
        <v>693.04</v>
      </c>
      <c r="X65" s="127">
        <f ca="1">IF($C65="S",IF(Import.TipoArredondamento&lt;&gt;"TransfereGOV",VTOTAL1,SUM(OFFSET(CÁLCULO!$AA$15,ROW($X65)-ROW($X$15),1):OFFSET(CÁLCULO!$AL$15,ROW($X65)-ROW($X$15),-1))),IF($C65=0,0,ROUND(SomaAgrup,15-13*$AF$11)))</f>
        <v>4490.8999999999996</v>
      </c>
      <c r="Y65" s="128" t="s">
        <v>245</v>
      </c>
      <c r="Z65" t="str">
        <f t="shared" ref="Z65:Z69" ca="1" si="70">IF(AND($C65="S",$X65&gt;0),IF(ISBLANK($Y65),"RA",LEFT($Y65,2)),"")</f>
        <v>RA</v>
      </c>
      <c r="AA65" s="129">
        <f ca="1">IF($C65="S",IF($Z65="CP",$X65,IF($Z65="RA",(($X65)*QCI!$AA$3),0)),SomaAgrup)</f>
        <v>4490.8999999999996</v>
      </c>
      <c r="AB65" s="130">
        <f t="shared" ca="1" si="34"/>
        <v>0</v>
      </c>
      <c r="AC65" s="131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t="str">
        <f ca="1">IF(C65&lt;=CRONO.NivelExibicao,MAX($AD$15:OFFSET(AD65,-1,0))+IF($C65&lt;&gt;1,1,MAX(1,COUNTIF(QCI!$A$13:$A$24,OFFSET($E65,-1,0)))),"")</f>
        <v/>
      </c>
      <c r="AE65" s="7" t="str">
        <f ca="1">IF(AND($C65="S",ORÇAMENTO.CodBarra&lt;&gt;""),IF(ORÇAMENTO.Fonte="",ORÇAMENTO.CodBarra,CONCATENATE(ORÇAMENTO.Fonte," ",ORÇAMENTO.CodBarra)))</f>
        <v>SINAPI 94573</v>
      </c>
      <c r="AF65" s="13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9828</v>
      </c>
      <c r="AG65" s="498">
        <f ca="1">ROUND(IF(DESONERACAO="sim",REFERENCIA.Desonerado,REFERENCIA.NaoDesonerado),2)</f>
        <v>575.85</v>
      </c>
      <c r="AH65" s="499">
        <f t="shared" ca="1" si="35"/>
        <v>0.20349999999999999</v>
      </c>
      <c r="AJ65" s="501">
        <f>1.8*1.2*2+(2.16)</f>
        <v>6.48</v>
      </c>
      <c r="AL65" s="527"/>
      <c r="AM65" s="381">
        <f t="shared" ca="1" si="0"/>
        <v>4490.8999999999996</v>
      </c>
      <c r="AN65" s="566">
        <f t="shared" ca="1" si="36"/>
        <v>693.04</v>
      </c>
    </row>
    <row r="66" spans="1:40" x14ac:dyDescent="0.2">
      <c r="A66" t="str">
        <f t="shared" si="33"/>
        <v>S</v>
      </c>
      <c r="B66">
        <f t="shared" ca="1" si="59"/>
        <v>2</v>
      </c>
      <c r="C66" t="str">
        <f t="shared" ca="1" si="60"/>
        <v>S</v>
      </c>
      <c r="D66">
        <f t="shared" ca="1" si="61"/>
        <v>0</v>
      </c>
      <c r="E66">
        <f ca="1">IF($C66=1,OFFSET(E66,-1,0)+MAX(1,COUNTIF(QCI!$A$13:$A$24,OFFSET(ORÇAMENTO!E66,-1,0))),OFFSET(E66,-1,0))</f>
        <v>4</v>
      </c>
      <c r="F66">
        <f t="shared" ca="1" si="62"/>
        <v>3</v>
      </c>
      <c r="G66">
        <f t="shared" ca="1" si="63"/>
        <v>0</v>
      </c>
      <c r="H66">
        <f t="shared" ca="1" si="64"/>
        <v>0</v>
      </c>
      <c r="I66">
        <f t="shared" ca="1" si="65"/>
        <v>4</v>
      </c>
      <c r="J66">
        <f ca="1">IF(OR($C66="S",$C66=0),0,MATCH(0,OFFSET($D66,1,$C66,ROW($C$165)-ROW($C66)),0))</f>
        <v>0</v>
      </c>
      <c r="K66">
        <f ca="1">IF(OR($C66="S",$C66=0),0,MATCH(OFFSET($D66,0,$C66)+IF($C66&lt;&gt;1,1,COUNTIF(QCI!$A$13:$A$24,ORÇAMENTO!E66)),OFFSET($D66,1,$C66,ROW($C$165)-ROW($C66)),0))</f>
        <v>0</v>
      </c>
      <c r="L66" s="116" t="str">
        <f t="shared" ca="1" si="66"/>
        <v>F</v>
      </c>
      <c r="M66" s="117" t="s">
        <v>199</v>
      </c>
      <c r="N66" s="118" t="str">
        <f t="shared" ca="1" si="67"/>
        <v>Serviço</v>
      </c>
      <c r="O66" s="119" t="str">
        <f t="shared" ca="1" si="68"/>
        <v>4.3.4.</v>
      </c>
      <c r="P66" s="120" t="s">
        <v>247</v>
      </c>
      <c r="Q66" s="121" t="s">
        <v>555</v>
      </c>
      <c r="R66" s="122" t="s">
        <v>556</v>
      </c>
      <c r="S66" s="123" t="str">
        <f ca="1">REFERENCIA.Unidade</f>
        <v>M2</v>
      </c>
      <c r="T66" s="124">
        <f ca="1">OFFSET(CÁLCULO!H$15,ROW($T66)-ROW(T$15),0)</f>
        <v>4.5599999999999996</v>
      </c>
      <c r="U66" s="125">
        <f t="shared" ca="1" si="69"/>
        <v>712.07</v>
      </c>
      <c r="V66" s="126" t="s">
        <v>156</v>
      </c>
      <c r="W66" s="124">
        <f ca="1">IF($C66="S",ROUND(IF(TIPOORCAMENTO="Proposto",ORÇAMENTO.CustoUnitario*(1+$AH66),ORÇAMENTO.PrecoUnitarioLicitado),15-13*$AF$10),0)</f>
        <v>856.98</v>
      </c>
      <c r="X66" s="127">
        <f ca="1">IF($C66="S",IF(Import.TipoArredondamento&lt;&gt;"TransfereGOV",VTOTAL1,SUM(OFFSET(CÁLCULO!$AA$15,ROW($X66)-ROW($X$15),1):OFFSET(CÁLCULO!$AL$15,ROW($X66)-ROW($X$15),-1))),IF($C66=0,0,ROUND(SomaAgrup,15-13*$AF$11)))</f>
        <v>3907.83</v>
      </c>
      <c r="Y66" s="128" t="s">
        <v>245</v>
      </c>
      <c r="Z66" t="str">
        <f t="shared" ca="1" si="70"/>
        <v>RA</v>
      </c>
      <c r="AA66" s="129">
        <f ca="1">IF($C66="S",IF($Z66="CP",$X66,IF($Z66="RA",(($X66)*QCI!$AA$3),0)),SomaAgrup)</f>
        <v>3907.83</v>
      </c>
      <c r="AB66" s="130">
        <f t="shared" ca="1" si="34"/>
        <v>0</v>
      </c>
      <c r="AC66" s="131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IF(C66&lt;=CRONO.NivelExibicao,MAX($AD$15:OFFSET(AD66,-1,0))+IF($C66&lt;&gt;1,1,MAX(1,COUNTIF(QCI!$A$13:$A$24,OFFSET($E66,-1,0)))),"")</f>
        <v/>
      </c>
      <c r="AE66" s="7" t="str">
        <f ca="1">IF(AND($C66="S",ORÇAMENTO.CodBarra&lt;&gt;""),IF(ORÇAMENTO.Fonte="",ORÇAMENTO.CodBarra,CONCATENATE(ORÇAMENTO.Fonte," ",ORÇAMENTO.CodBarra)))</f>
        <v>SINAPI 94559</v>
      </c>
      <c r="AF66" s="13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9835</v>
      </c>
      <c r="AG66" s="498">
        <f ca="1">ROUND(IF(DESONERACAO="sim",REFERENCIA.Desonerado,REFERENCIA.NaoDesonerado),2)</f>
        <v>712.07</v>
      </c>
      <c r="AH66" s="499">
        <f t="shared" ca="1" si="35"/>
        <v>0.20349999999999999</v>
      </c>
      <c r="AJ66" s="501">
        <f>2.28*2</f>
        <v>4.5599999999999996</v>
      </c>
      <c r="AL66" s="527"/>
      <c r="AM66" s="381">
        <f t="shared" ca="1" si="0"/>
        <v>3907.83</v>
      </c>
      <c r="AN66" s="566">
        <f t="shared" ca="1" si="36"/>
        <v>856.98</v>
      </c>
    </row>
    <row r="67" spans="1:40" x14ac:dyDescent="0.2">
      <c r="A67">
        <f t="shared" si="33"/>
        <v>2</v>
      </c>
      <c r="B67">
        <f t="shared" ca="1" si="59"/>
        <v>2</v>
      </c>
      <c r="C67">
        <f t="shared" ca="1" si="60"/>
        <v>2</v>
      </c>
      <c r="D67">
        <f t="shared" ca="1" si="61"/>
        <v>3</v>
      </c>
      <c r="E67">
        <f ca="1">IF($C67=1,OFFSET(E67,-1,0)+MAX(1,COUNTIF(QCI!$A$13:$A$24,OFFSET(ORÇAMENTO!E67,-1,0))),OFFSET(E67,-1,0))</f>
        <v>4</v>
      </c>
      <c r="F67">
        <f t="shared" ca="1" si="62"/>
        <v>4</v>
      </c>
      <c r="G67">
        <f t="shared" ca="1" si="63"/>
        <v>0</v>
      </c>
      <c r="H67">
        <f t="shared" ca="1" si="64"/>
        <v>0</v>
      </c>
      <c r="I67">
        <f t="shared" ca="1" si="65"/>
        <v>0</v>
      </c>
      <c r="J67">
        <f ca="1">IF(OR($C67="S",$C67=0),0,MATCH(0,OFFSET($D67,1,$C67,ROW($C$165)-ROW($C67)),0))</f>
        <v>3</v>
      </c>
      <c r="K67" t="e">
        <f ca="1">IF(OR($C67="S",$C67=0),0,MATCH(OFFSET($D67,0,$C67)+IF($C67&lt;&gt;1,1,COUNTIF(QCI!$A$13:$A$24,ORÇAMENTO!E67)),OFFSET($D67,1,$C67,ROW($C$165)-ROW($C67)),0))</f>
        <v>#N/A</v>
      </c>
      <c r="L67" s="116" t="str">
        <f t="shared" ca="1" si="66"/>
        <v>F</v>
      </c>
      <c r="M67" s="117" t="s">
        <v>196</v>
      </c>
      <c r="N67" s="118" t="str">
        <f t="shared" ca="1" si="67"/>
        <v>Nível 2</v>
      </c>
      <c r="O67" s="119" t="str">
        <f t="shared" ca="1" si="68"/>
        <v>4.4.</v>
      </c>
      <c r="P67" s="120" t="s">
        <v>247</v>
      </c>
      <c r="Q67" s="121"/>
      <c r="R67" s="122" t="s">
        <v>601</v>
      </c>
      <c r="S67" s="123" t="str">
        <f ca="1">REFERENCIA.Unidade</f>
        <v>-</v>
      </c>
      <c r="T67" s="124">
        <f ca="1">OFFSET(CÁLCULO!H$15,ROW($T67)-ROW(T$15),0)</f>
        <v>0</v>
      </c>
      <c r="U67" s="125">
        <f t="shared" ca="1" si="69"/>
        <v>0</v>
      </c>
      <c r="V67" s="126" t="s">
        <v>156</v>
      </c>
      <c r="W67" s="124">
        <f ca="1">IF($C67="S",ROUND(IF(TIPOORCAMENTO="Proposto",ORÇAMENTO.CustoUnitario*(1+$AH67),ORÇAMENTO.PrecoUnitarioLicitado),15-13*$AF$10),0)</f>
        <v>0</v>
      </c>
      <c r="X67" s="127">
        <f ca="1">IF($C67="S",IF(Import.TipoArredondamento&lt;&gt;"TransfereGOV",VTOTAL1,SUM(OFFSET(CÁLCULO!$AA$15,ROW($X67)-ROW($X$15),1):OFFSET(CÁLCULO!$AL$15,ROW($X67)-ROW($X$15),-1))),IF($C67=0,0,ROUND(SomaAgrup,15-13*$AF$11)))</f>
        <v>9511.85</v>
      </c>
      <c r="Y67" s="128" t="s">
        <v>245</v>
      </c>
      <c r="Z67" t="str">
        <f t="shared" ca="1" si="70"/>
        <v/>
      </c>
      <c r="AA67" s="129">
        <f ca="1">IF($C67="S",IF($Z67="CP",$X67,IF($Z67="RA",(($X67)*QCI!$AA$3),0)),SomaAgrup)</f>
        <v>9511.85</v>
      </c>
      <c r="AB67" s="130">
        <f t="shared" ca="1" si="34"/>
        <v>0</v>
      </c>
      <c r="AC67" s="131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>
        <f ca="1">IF(C67&lt;=CRONO.NivelExibicao,MAX($AD$15:OFFSET(AD67,-1,0))+IF($C67&lt;&gt;1,1,MAX(1,COUNTIF(QCI!$A$13:$A$24,OFFSET($E67,-1,0)))),"")</f>
        <v>14</v>
      </c>
      <c r="AE67" s="7" t="b">
        <f ca="1">IF(AND($C67="S",ORÇAMENTO.CodBarra&lt;&gt;""),IF(ORÇAMENTO.Fonte="",ORÇAMENTO.CodBarra,CONCATENATE(ORÇAMENTO.Fonte," ",ORÇAMENTO.CodBarra)))</f>
        <v>0</v>
      </c>
      <c r="AF67" s="13" t="str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(Sem Código)</v>
      </c>
      <c r="AG67" s="498">
        <f ca="1">ROUND(IF(DESONERACAO="sim",REFERENCIA.Desonerado,REFERENCIA.NaoDesonerado),2)</f>
        <v>0</v>
      </c>
      <c r="AH67" s="499">
        <f t="shared" ca="1" si="35"/>
        <v>0.20349999999999999</v>
      </c>
      <c r="AJ67" s="501"/>
      <c r="AL67" s="527"/>
      <c r="AM67" s="381">
        <f t="shared" ca="1" si="0"/>
        <v>9511.85</v>
      </c>
      <c r="AN67" s="566">
        <f t="shared" ca="1" si="36"/>
        <v>0</v>
      </c>
    </row>
    <row r="68" spans="1:40" ht="25.5" x14ac:dyDescent="0.2">
      <c r="A68" t="str">
        <f t="shared" si="33"/>
        <v>S</v>
      </c>
      <c r="B68">
        <f t="shared" ca="1" si="59"/>
        <v>2</v>
      </c>
      <c r="C68" t="str">
        <f t="shared" ca="1" si="60"/>
        <v>S</v>
      </c>
      <c r="D68">
        <f t="shared" ca="1" si="61"/>
        <v>0</v>
      </c>
      <c r="E68">
        <f ca="1">IF($C68=1,OFFSET(E68,-1,0)+MAX(1,COUNTIF(QCI!$A$13:$A$24,OFFSET(ORÇAMENTO!E68,-1,0))),OFFSET(E68,-1,0))</f>
        <v>4</v>
      </c>
      <c r="F68">
        <f t="shared" ca="1" si="62"/>
        <v>4</v>
      </c>
      <c r="G68">
        <f t="shared" ca="1" si="63"/>
        <v>0</v>
      </c>
      <c r="H68">
        <f t="shared" ca="1" si="64"/>
        <v>0</v>
      </c>
      <c r="I68">
        <f t="shared" ca="1" si="65"/>
        <v>1</v>
      </c>
      <c r="J68">
        <f ca="1">IF(OR($C68="S",$C68=0),0,MATCH(0,OFFSET($D68,1,$C68,ROW($C$165)-ROW($C68)),0))</f>
        <v>0</v>
      </c>
      <c r="K68">
        <f ca="1">IF(OR($C68="S",$C68=0),0,MATCH(OFFSET($D68,0,$C68)+IF($C68&lt;&gt;1,1,COUNTIF(QCI!$A$13:$A$24,ORÇAMENTO!E68)),OFFSET($D68,1,$C68,ROW($C$165)-ROW($C68)),0))</f>
        <v>0</v>
      </c>
      <c r="L68" s="116" t="str">
        <f t="shared" ca="1" si="66"/>
        <v>F</v>
      </c>
      <c r="M68" s="117" t="s">
        <v>199</v>
      </c>
      <c r="N68" s="118" t="str">
        <f t="shared" ca="1" si="67"/>
        <v>Serviço</v>
      </c>
      <c r="O68" s="119" t="str">
        <f t="shared" ca="1" si="68"/>
        <v>4.4.1.</v>
      </c>
      <c r="P68" s="120" t="s">
        <v>247</v>
      </c>
      <c r="Q68" s="121" t="s">
        <v>599</v>
      </c>
      <c r="R68" s="122" t="str">
        <f ca="1">IF($C68="S",REFERENCIA.Descricao,"(digite a descrição aqui)")</f>
        <v>PORTA DE FERRO, DE ABRIR, TIPO GRADE COM CHAPA, COM GUARNIÇÕES. AF_10/2025</v>
      </c>
      <c r="S68" s="123" t="str">
        <f ca="1">REFERENCIA.Unidade</f>
        <v>M2</v>
      </c>
      <c r="T68" s="124">
        <f ca="1">OFFSET(CÁLCULO!H$15,ROW($T68)-ROW(T$15),0)</f>
        <v>1.68</v>
      </c>
      <c r="U68" s="125">
        <f t="shared" ca="1" si="69"/>
        <v>660.96</v>
      </c>
      <c r="V68" s="126" t="s">
        <v>156</v>
      </c>
      <c r="W68" s="124">
        <f ca="1">IF($C68="S",ROUND(IF(TIPOORCAMENTO="Proposto",ORÇAMENTO.CustoUnitario*(1+$AH68),ORÇAMENTO.PrecoUnitarioLicitado),15-13*$AF$10),0)</f>
        <v>795.47</v>
      </c>
      <c r="X68" s="127">
        <f ca="1">IF($C68="S",IF(Import.TipoArredondamento&lt;&gt;"TransfereGOV",VTOTAL1,SUM(OFFSET(CÁLCULO!$AA$15,ROW($X68)-ROW($X$15),1):OFFSET(CÁLCULO!$AL$15,ROW($X68)-ROW($X$15),-1))),IF($C68=0,0,ROUND(SomaAgrup,15-13*$AF$11)))</f>
        <v>1336.39</v>
      </c>
      <c r="Y68" s="128" t="s">
        <v>245</v>
      </c>
      <c r="Z68" t="str">
        <f t="shared" ca="1" si="70"/>
        <v>RA</v>
      </c>
      <c r="AA68" s="129">
        <f ca="1">IF($C68="S",IF($Z68="CP",$X68,IF($Z68="RA",(($X68)*QCI!$AA$3),0)),SomaAgrup)</f>
        <v>1336.39</v>
      </c>
      <c r="AB68" s="130">
        <f t="shared" ca="1" si="34"/>
        <v>0</v>
      </c>
      <c r="AC68" s="131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t="str">
        <f ca="1">IF(C68&lt;=CRONO.NivelExibicao,MAX($AD$15:OFFSET(AD68,-1,0))+IF($C68&lt;&gt;1,1,MAX(1,COUNTIF(QCI!$A$13:$A$24,OFFSET($E68,-1,0)))),"")</f>
        <v/>
      </c>
      <c r="AE68" s="7" t="str">
        <f ca="1">IF(AND($C68="S",ORÇAMENTO.CodBarra&lt;&gt;""),IF(ORÇAMENTO.Fonte="",ORÇAMENTO.CodBarra,CONCATENATE(ORÇAMENTO.Fonte," ",ORÇAMENTO.CodBarra)))</f>
        <v>SINAPI 100701</v>
      </c>
      <c r="AF68" s="13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9949</v>
      </c>
      <c r="AG68" s="498">
        <f ca="1">ROUND(IF(DESONERACAO="sim",REFERENCIA.Desonerado,REFERENCIA.NaoDesonerado),2)</f>
        <v>660.96</v>
      </c>
      <c r="AH68" s="499">
        <f t="shared" ca="1" si="35"/>
        <v>0.20349999999999999</v>
      </c>
      <c r="AJ68" s="501">
        <v>1.68</v>
      </c>
      <c r="AL68" s="527"/>
      <c r="AM68" s="381">
        <f t="shared" ca="1" si="0"/>
        <v>1336.39</v>
      </c>
      <c r="AN68" s="566">
        <f t="shared" ca="1" si="36"/>
        <v>795.47</v>
      </c>
    </row>
    <row r="69" spans="1:40" ht="25.5" x14ac:dyDescent="0.2">
      <c r="A69" t="str">
        <f t="shared" si="33"/>
        <v>S</v>
      </c>
      <c r="B69">
        <f t="shared" ca="1" si="59"/>
        <v>2</v>
      </c>
      <c r="C69" t="str">
        <f t="shared" ca="1" si="60"/>
        <v>S</v>
      </c>
      <c r="D69">
        <f t="shared" ca="1" si="61"/>
        <v>0</v>
      </c>
      <c r="E69">
        <f ca="1">IF($C69=1,OFFSET(E69,-1,0)+MAX(1,COUNTIF(QCI!$A$13:$A$24,OFFSET(ORÇAMENTO!E69,-1,0))),OFFSET(E69,-1,0))</f>
        <v>4</v>
      </c>
      <c r="F69">
        <f t="shared" ca="1" si="62"/>
        <v>4</v>
      </c>
      <c r="G69">
        <f t="shared" ca="1" si="63"/>
        <v>0</v>
      </c>
      <c r="H69">
        <f t="shared" ca="1" si="64"/>
        <v>0</v>
      </c>
      <c r="I69">
        <f t="shared" ca="1" si="65"/>
        <v>2</v>
      </c>
      <c r="J69">
        <f ca="1">IF(OR($C69="S",$C69=0),0,MATCH(0,OFFSET($D69,1,$C69,ROW($C$165)-ROW($C69)),0))</f>
        <v>0</v>
      </c>
      <c r="K69">
        <f ca="1">IF(OR($C69="S",$C69=0),0,MATCH(OFFSET($D69,0,$C69)+IF($C69&lt;&gt;1,1,COUNTIF(QCI!$A$13:$A$24,ORÇAMENTO!E69)),OFFSET($D69,1,$C69,ROW($C$165)-ROW($C69)),0))</f>
        <v>0</v>
      </c>
      <c r="L69" s="116" t="str">
        <f t="shared" ca="1" si="66"/>
        <v>F</v>
      </c>
      <c r="M69" s="117" t="s">
        <v>199</v>
      </c>
      <c r="N69" s="118" t="str">
        <f t="shared" ca="1" si="67"/>
        <v>Serviço</v>
      </c>
      <c r="O69" s="119" t="str">
        <f t="shared" ca="1" si="68"/>
        <v>4.4.2.</v>
      </c>
      <c r="P69" s="120" t="s">
        <v>247</v>
      </c>
      <c r="Q69" s="121" t="s">
        <v>600</v>
      </c>
      <c r="R69" s="122" t="str">
        <f ca="1">IF($C69="S",REFERENCIA.Descricao,"(digite a descrição aqui)")</f>
        <v>GRADIL EM AÇO FIXADO EM VÃOS DE JANELAS, FORMADO POR BARRAS CHATAS DE 25X4,8 MM. AF_10/2025</v>
      </c>
      <c r="S69" s="123" t="str">
        <f ca="1">REFERENCIA.Unidade</f>
        <v>M2</v>
      </c>
      <c r="T69" s="124">
        <f ca="1">OFFSET(CÁLCULO!H$15,ROW($T69)-ROW(T$15),0)</f>
        <v>11.42</v>
      </c>
      <c r="U69" s="125">
        <f t="shared" ca="1" si="69"/>
        <v>594.84</v>
      </c>
      <c r="V69" s="126" t="s">
        <v>156</v>
      </c>
      <c r="W69" s="124">
        <f ca="1">IF($C69="S",ROUND(IF(TIPOORCAMENTO="Proposto",ORÇAMENTO.CustoUnitario*(1+$AH69),ORÇAMENTO.PrecoUnitarioLicitado),15-13*$AF$10),0)</f>
        <v>715.89</v>
      </c>
      <c r="X69" s="127">
        <f ca="1">IF($C69="S",IF(Import.TipoArredondamento&lt;&gt;"TransfereGOV",VTOTAL1,SUM(OFFSET(CÁLCULO!$AA$15,ROW($X69)-ROW($X$15),1):OFFSET(CÁLCULO!$AL$15,ROW($X69)-ROW($X$15),-1))),IF($C69=0,0,ROUND(SomaAgrup,15-13*$AF$11)))</f>
        <v>8175.46</v>
      </c>
      <c r="Y69" s="128" t="s">
        <v>245</v>
      </c>
      <c r="Z69" t="str">
        <f t="shared" ca="1" si="70"/>
        <v>RA</v>
      </c>
      <c r="AA69" s="129">
        <f ca="1">IF($C69="S",IF($Z69="CP",$X69,IF($Z69="RA",(($X69)*QCI!$AA$3),0)),SomaAgrup)</f>
        <v>8175.46</v>
      </c>
      <c r="AB69" s="130">
        <f t="shared" ca="1" si="34"/>
        <v>0</v>
      </c>
      <c r="AC69" s="131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 t="str">
        <f ca="1">IF(C69&lt;=CRONO.NivelExibicao,MAX($AD$15:OFFSET(AD69,-1,0))+IF($C69&lt;&gt;1,1,MAX(1,COUNTIF(QCI!$A$13:$A$24,OFFSET($E69,-1,0)))),"")</f>
        <v/>
      </c>
      <c r="AE69" s="7" t="str">
        <f ca="1">IF(AND($C69="S",ORÇAMENTO.CodBarra&lt;&gt;""),IF(ORÇAMENTO.Fonte="",ORÇAMENTO.CodBarra,CONCATENATE(ORÇAMENTO.Fonte," ",ORÇAMENTO.CodBarra)))</f>
        <v>SINAPI 99861</v>
      </c>
      <c r="AF69" s="13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10718</v>
      </c>
      <c r="AG69" s="498">
        <f ca="1">ROUND(IF(DESONERACAO="sim",REFERENCIA.Desonerado,REFERENCIA.NaoDesonerado),2)</f>
        <v>594.84</v>
      </c>
      <c r="AH69" s="499">
        <f t="shared" ca="1" si="35"/>
        <v>0.20349999999999999</v>
      </c>
      <c r="AJ69" s="501">
        <v>11.42</v>
      </c>
      <c r="AL69" s="527"/>
      <c r="AM69" s="381">
        <f t="shared" ca="1" si="0"/>
        <v>8175.46</v>
      </c>
      <c r="AN69" s="566">
        <f t="shared" ca="1" si="36"/>
        <v>715.89</v>
      </c>
    </row>
    <row r="70" spans="1:40" x14ac:dyDescent="0.2">
      <c r="A70">
        <f t="shared" si="1"/>
        <v>1</v>
      </c>
      <c r="B70">
        <f t="shared" ca="1" si="2"/>
        <v>1</v>
      </c>
      <c r="C70">
        <f t="shared" ca="1" si="3"/>
        <v>1</v>
      </c>
      <c r="D70">
        <f t="shared" ca="1" si="4"/>
        <v>10</v>
      </c>
      <c r="E70">
        <f ca="1">IF($C70=1,OFFSET(E70,-1,0)+MAX(1,COUNTIF(QCI!$A$13:$A$24,OFFSET(ORÇAMENTO!E70,-1,0))),OFFSET(E70,-1,0))</f>
        <v>5</v>
      </c>
      <c r="F70">
        <f t="shared" ca="1" si="5"/>
        <v>0</v>
      </c>
      <c r="G70">
        <f t="shared" ca="1" si="6"/>
        <v>0</v>
      </c>
      <c r="H70">
        <f t="shared" ca="1" si="7"/>
        <v>0</v>
      </c>
      <c r="I70">
        <f t="shared" ca="1" si="8"/>
        <v>0</v>
      </c>
      <c r="J70">
        <f ca="1">IF(OR($C70="S",$C70=0),0,MATCH(0,OFFSET($D70,1,$C70,ROW($C$165)-ROW($C70)),0))</f>
        <v>95</v>
      </c>
      <c r="K70">
        <f ca="1">IF(OR($C70="S",$C70=0),0,MATCH(OFFSET($D70,0,$C70)+IF($C70&lt;&gt;1,1,COUNTIF(QCI!$A$13:$A$24,ORÇAMENTO!E70)),OFFSET($D70,1,$C70,ROW($C$165)-ROW($C70)),0))</f>
        <v>10</v>
      </c>
      <c r="L70" s="116" t="str">
        <f t="shared" ca="1" si="9"/>
        <v>F</v>
      </c>
      <c r="M70" s="117" t="s">
        <v>195</v>
      </c>
      <c r="N70" s="118" t="str">
        <f t="shared" ca="1" si="10"/>
        <v>Meta</v>
      </c>
      <c r="O70" s="119" t="str">
        <f t="shared" ca="1" si="11"/>
        <v>5.</v>
      </c>
      <c r="P70" s="120" t="s">
        <v>247</v>
      </c>
      <c r="Q70" s="121"/>
      <c r="R70" s="122" t="s">
        <v>450</v>
      </c>
      <c r="S70" s="123" t="str">
        <f ca="1">REFERENCIA.Unidade</f>
        <v>-</v>
      </c>
      <c r="T70" s="124">
        <f ca="1">OFFSET(CÁLCULO!H$15,ROW($T70)-ROW(T$15),0)</f>
        <v>0</v>
      </c>
      <c r="U70" s="125">
        <f t="shared" ca="1" si="69"/>
        <v>0</v>
      </c>
      <c r="V70" s="126" t="s">
        <v>156</v>
      </c>
      <c r="W70" s="124">
        <f ca="1">IF($C70="S",ROUND(IF(TIPOORCAMENTO="Proposto",ORÇAMENTO.CustoUnitario*(1+$AH70),ORÇAMENTO.PrecoUnitarioLicitado),15-13*$AF$10),0)</f>
        <v>0</v>
      </c>
      <c r="X70" s="127">
        <f ca="1">IF($C70="S",IF(Import.TipoArredondamento&lt;&gt;"TransfereGOV",VTOTAL1,SUM(OFFSET(CÁLCULO!$AA$15,ROW($X70)-ROW($X$15),1):OFFSET(CÁLCULO!$AL$15,ROW($X70)-ROW($X$15),-1))),IF($C70=0,0,ROUND(SomaAgrup,15-13*$AF$11)))</f>
        <v>51996.85</v>
      </c>
      <c r="Y70" s="128" t="s">
        <v>245</v>
      </c>
      <c r="Z70" t="str">
        <f t="shared" ca="1" si="12"/>
        <v/>
      </c>
      <c r="AA70" s="129">
        <f ca="1">IF($C70="S",IF($Z70="CP",$X70,IF($Z70="RA",(($X70)*QCI!$AA$3),0)),SomaAgrup)</f>
        <v>51996.85</v>
      </c>
      <c r="AB70" s="130">
        <f t="shared" ca="1" si="13"/>
        <v>0</v>
      </c>
      <c r="AC70" s="131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>
        <f ca="1">IF(C70&lt;=CRONO.NivelExibicao,MAX($AD$15:OFFSET(AD70,-1,0))+IF($C70&lt;&gt;1,1,MAX(1,COUNTIF(QCI!$A$13:$A$24,OFFSET($E70,-1,0)))),"")</f>
        <v>15</v>
      </c>
      <c r="AE70" s="7" t="b">
        <f ca="1">IF(AND($C70="S",ORÇAMENTO.CodBarra&lt;&gt;""),IF(ORÇAMENTO.Fonte="",ORÇAMENTO.CodBarra,CONCATENATE(ORÇAMENTO.Fonte," ",ORÇAMENTO.CodBarra)))</f>
        <v>0</v>
      </c>
      <c r="AF70" s="13" t="str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(Sem Código)</v>
      </c>
      <c r="AG70" s="498">
        <f ca="1">ROUND(IF(DESONERACAO="sim",REFERENCIA.Desonerado,REFERENCIA.NaoDesonerado),2)</f>
        <v>0</v>
      </c>
      <c r="AH70" s="499">
        <f t="shared" ca="1" si="14"/>
        <v>0.20349999999999999</v>
      </c>
      <c r="AJ70" s="501"/>
      <c r="AL70" s="527"/>
      <c r="AM70" s="381">
        <f t="shared" ca="1" si="0"/>
        <v>51996.85</v>
      </c>
      <c r="AN70" s="566">
        <f t="shared" ca="1" si="15"/>
        <v>0</v>
      </c>
    </row>
    <row r="71" spans="1:40" x14ac:dyDescent="0.2">
      <c r="A71">
        <f>CHOOSE(1+LOG(1+2*(ORÇAMENTO.Nivel="Meta")+4*(ORÇAMENTO.Nivel="Nível 2")+8*(ORÇAMENTO.Nivel="Nível 3")+16*(ORÇAMENTO.Nivel="Nível 4")+32*(ORÇAMENTO.Nivel="Serviço"),2),0,1,2,3,4,"S")</f>
        <v>2</v>
      </c>
      <c r="B71">
        <f ca="1">IF(OR(C71="s",C71=0),OFFSET(B71,-1,0),C71)</f>
        <v>2</v>
      </c>
      <c r="C71">
        <f ca="1">IF(OFFSET(C71,-1,0)="L",1,IF(OFFSET(C71,-1,0)=1,2,IF(OR(A71="s",A71=0),"S",IF(AND(OFFSET(C71,-1,0)=2,A71=4),3,IF(AND(OR(OFFSET(C71,-1,0)="s",OFFSET(C71,-1,0)=0),A71&lt;&gt;"s",A71&gt;OFFSET(B71,-1,0)),OFFSET(B71,-1,0),A71)))))</f>
        <v>2</v>
      </c>
      <c r="D71">
        <f ca="1">IF(OR(C71="S",C71=0),0,IF(ISERROR(K71),J71,SMALL(J71:K71,1)))</f>
        <v>6</v>
      </c>
      <c r="E71">
        <f ca="1">IF($C71=1,OFFSET(E71,-1,0)+MAX(1,COUNTIF(QCI!$A$13:$A$24,OFFSET(ORÇAMENTO!E71,-1,0))),OFFSET(E71,-1,0))</f>
        <v>5</v>
      </c>
      <c r="F71">
        <f ca="1">IF($C71=1,0,IF($C71=2,OFFSET(F71,-1,0)+1,OFFSET(F71,-1,0)))</f>
        <v>1</v>
      </c>
      <c r="G71">
        <f ca="1">IF(AND($C71&lt;=2,$C71&lt;&gt;0),0,IF($C71=3,OFFSET(G71,-1,0)+1,OFFSET(G71,-1,0)))</f>
        <v>0</v>
      </c>
      <c r="H71">
        <f ca="1">IF(AND($C71&lt;=3,$C71&lt;&gt;0),0,IF($C71=4,OFFSET(H71,-1,0)+1,OFFSET(H71,-1,0)))</f>
        <v>0</v>
      </c>
      <c r="I71">
        <f ca="1">IF(AND($C71&lt;=4,$C71&lt;&gt;0),0,IF(AND($C71="S",$X71&gt;0),OFFSET(I71,-1,0)+1,OFFSET(I71,-1,0)))</f>
        <v>0</v>
      </c>
      <c r="J71">
        <f ca="1">IF(OR($C71="S",$C71=0),0,MATCH(0,OFFSET($D71,1,$C71,ROW($C$165)-ROW($C71)),0))</f>
        <v>9</v>
      </c>
      <c r="K71">
        <f ca="1">IF(OR($C71="S",$C71=0),0,MATCH(OFFSET($D71,0,$C71)+IF($C71&lt;&gt;1,1,COUNTIF(QCI!$A$13:$A$24,ORÇAMENTO!E71)),OFFSET($D71,1,$C71,ROW($C$165)-ROW($C71)),0))</f>
        <v>6</v>
      </c>
      <c r="L71" s="116" t="str">
        <f ca="1">IF(OR($X71&gt;0,$C71=1,$C71=2,$C71=3,$C71=4),"F","")</f>
        <v>F</v>
      </c>
      <c r="M71" s="117" t="s">
        <v>196</v>
      </c>
      <c r="N71" s="118" t="str">
        <f ca="1">CHOOSE(1+LOG(1+2*(C71=1)+4*(C71=2)+8*(C71=3)+16*(C71=4)+32*(C71="S"),2),"","Meta","Nível 2","Nível 3","Nível 4","Serviço")</f>
        <v>Nível 2</v>
      </c>
      <c r="O71" s="119" t="str">
        <f ca="1">IF(OR($C71=0,$L71=""),"-",CONCATENATE(E71&amp;".",IF(AND($A$5&gt;=2,$C71&gt;=2),F71&amp;".",""),IF(AND($A$5&gt;=3,$C71&gt;=3),G71&amp;".",""),IF(AND($A$5&gt;=4,$C71&gt;=4),H71&amp;".",""),IF($C71="S",I71&amp;".","")))</f>
        <v>5.1.</v>
      </c>
      <c r="P71" s="120" t="s">
        <v>491</v>
      </c>
      <c r="Q71" s="121" t="s">
        <v>544</v>
      </c>
      <c r="R71" s="122" t="s">
        <v>450</v>
      </c>
      <c r="S71" s="123" t="str">
        <f ca="1">REFERENCIA.Unidade</f>
        <v>-</v>
      </c>
      <c r="T71" s="124">
        <f ca="1">OFFSET(CÁLCULO!H$15,ROW($T71)-ROW(T$15),0)</f>
        <v>0</v>
      </c>
      <c r="U71" s="125">
        <f t="shared" ca="1" si="69"/>
        <v>0</v>
      </c>
      <c r="V71" s="126" t="s">
        <v>156</v>
      </c>
      <c r="W71" s="124">
        <f ca="1">IF($C71="S",ROUND(IF(TIPOORCAMENTO="Proposto",ORÇAMENTO.CustoUnitario*(1+$AH71),ORÇAMENTO.PrecoUnitarioLicitado),15-13*$AF$10),0)</f>
        <v>0</v>
      </c>
      <c r="X71" s="127">
        <f ca="1">IF($C71="S",IF(Import.TipoArredondamento&lt;&gt;"TransfereGOV",VTOTAL1,SUM(OFFSET(CÁLCULO!$AA$15,ROW($X71)-ROW($X$15),1):OFFSET(CÁLCULO!$AL$15,ROW($X71)-ROW($X$15),-1))),IF($C71=0,0,ROUND(SomaAgrup,15-13*$AF$11)))</f>
        <v>45335.61</v>
      </c>
      <c r="Y71" s="128" t="s">
        <v>245</v>
      </c>
      <c r="Z71" t="str">
        <f ca="1">IF(AND($C71="S",$X71&gt;0),IF(ISBLANK($Y71),"RA",LEFT($Y71,2)),"")</f>
        <v/>
      </c>
      <c r="AA71" s="129">
        <f ca="1">IF($C71="S",IF($Z71="CP",$X71,IF($Z71="RA",(($X71)*QCI!$AA$3),0)),SomaAgrup)</f>
        <v>45335.61</v>
      </c>
      <c r="AB71" s="130">
        <f ca="1">IF($C71="S",IF($Z71="OU",ROUND($X71,2),0),SomaAgrup)</f>
        <v>0</v>
      </c>
      <c r="AC71" s="131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>
        <f ca="1">IF(C71&lt;=CRONO.NivelExibicao,MAX($AD$15:OFFSET(AD71,-1,0))+IF($C71&lt;&gt;1,1,MAX(1,COUNTIF(QCI!$A$13:$A$24,OFFSET($E71,-1,0)))),"")</f>
        <v>16</v>
      </c>
      <c r="AE71" s="7" t="b">
        <f ca="1">IF(AND($C71="S",ORÇAMENTO.CodBarra&lt;&gt;""),IF(ORÇAMENTO.Fonte="",ORÇAMENTO.CodBarra,CONCATENATE(ORÇAMENTO.Fonte," ",ORÇAMENTO.CodBarra)))</f>
        <v>0</v>
      </c>
      <c r="AF71" s="13" t="str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(Sem Código)</v>
      </c>
      <c r="AG71" s="498">
        <f ca="1">ROUND(IF(DESONERACAO="sim",REFERENCIA.Desonerado,REFERENCIA.NaoDesonerado),2)</f>
        <v>0</v>
      </c>
      <c r="AH71" s="499">
        <f ca="1">ROUND(IF(ISNUMBER(ORÇAMENTO.OpcaoBDI),ORÇAMENTO.OpcaoBDI,IF(LEFT(ORÇAMENTO.OpcaoBDI,3)="BDI",HLOOKUP(ORÇAMENTO.OpcaoBDI,$F$4:$H$5,2,FALSE),0)),15-11*$AF$9)</f>
        <v>0.20349999999999999</v>
      </c>
      <c r="AJ71" s="501">
        <v>7</v>
      </c>
      <c r="AL71" s="527"/>
      <c r="AM71" s="381">
        <f t="shared" ca="1" si="0"/>
        <v>45335.61</v>
      </c>
      <c r="AN71" s="566">
        <f ca="1">ROUND(ORÇAMENTO.CustoUnitario*(1+$AH71),2)</f>
        <v>0</v>
      </c>
    </row>
    <row r="72" spans="1:40" ht="25.5" x14ac:dyDescent="0.2">
      <c r="A72" t="str">
        <f t="shared" si="1"/>
        <v>S</v>
      </c>
      <c r="B72">
        <f t="shared" ca="1" si="2"/>
        <v>2</v>
      </c>
      <c r="C72" t="str">
        <f t="shared" ca="1" si="3"/>
        <v>S</v>
      </c>
      <c r="D72">
        <f t="shared" ca="1" si="4"/>
        <v>0</v>
      </c>
      <c r="E72">
        <f ca="1">IF($C72=1,OFFSET(E72,-1,0)+MAX(1,COUNTIF(QCI!$A$13:$A$24,OFFSET(ORÇAMENTO!E72,-1,0))),OFFSET(E72,-1,0))</f>
        <v>5</v>
      </c>
      <c r="F72">
        <f t="shared" ca="1" si="5"/>
        <v>1</v>
      </c>
      <c r="G72">
        <f t="shared" ca="1" si="6"/>
        <v>0</v>
      </c>
      <c r="H72">
        <f t="shared" ca="1" si="7"/>
        <v>0</v>
      </c>
      <c r="I72">
        <f t="shared" ca="1" si="8"/>
        <v>1</v>
      </c>
      <c r="J72">
        <f ca="1">IF(OR($C72="S",$C72=0),0,MATCH(0,OFFSET($D72,1,$C72,ROW($C$165)-ROW($C72)),0))</f>
        <v>0</v>
      </c>
      <c r="K72">
        <f ca="1">IF(OR($C72="S",$C72=0),0,MATCH(OFFSET($D72,0,$C72)+IF($C72&lt;&gt;1,1,COUNTIF(QCI!$A$13:$A$24,ORÇAMENTO!E72)),OFFSET($D72,1,$C72,ROW($C$165)-ROW($C72)),0))</f>
        <v>0</v>
      </c>
      <c r="L72" s="116" t="str">
        <f t="shared" ca="1" si="9"/>
        <v>F</v>
      </c>
      <c r="M72" s="117" t="s">
        <v>199</v>
      </c>
      <c r="N72" s="118" t="str">
        <f t="shared" ca="1" si="10"/>
        <v>Serviço</v>
      </c>
      <c r="O72" s="119" t="str">
        <f t="shared" ca="1" si="11"/>
        <v>5.1.1.</v>
      </c>
      <c r="P72" s="120" t="s">
        <v>491</v>
      </c>
      <c r="Q72" s="121" t="s">
        <v>545</v>
      </c>
      <c r="R72" s="122" t="str">
        <f ca="1">IF($C72="S",REFERENCIA.Descricao,"(digite a descrição aqui)")</f>
        <v xml:space="preserve">TRAMA DE AÇO COMPOSTA POR TERÇAS PARA TELHADOS DE ATÉ 2 ÁGUAS PARA TELHA METÁLICA, INCLUSO TRANSPORTE E PINTURA </v>
      </c>
      <c r="S72" s="123" t="str">
        <f ca="1">REFERENCIA.Unidade</f>
        <v xml:space="preserve">UN </v>
      </c>
      <c r="T72" s="124">
        <f ca="1">OFFSET(CÁLCULO!H$15,ROW($T72)-ROW(T$15),0)</f>
        <v>12</v>
      </c>
      <c r="U72" s="125">
        <f t="shared" ca="1" si="32"/>
        <v>939.58</v>
      </c>
      <c r="V72" s="126" t="s">
        <v>156</v>
      </c>
      <c r="W72" s="124">
        <f ca="1">IF($C72="S",ROUND(IF(TIPOORCAMENTO="Proposto",ORÇAMENTO.CustoUnitario*(1+$AH72),ORÇAMENTO.PrecoUnitarioLicitado),15-13*$AF$10),0)</f>
        <v>1130.78</v>
      </c>
      <c r="X72" s="127">
        <f ca="1">IF($C72="S",IF(Import.TipoArredondamento&lt;&gt;"TransfereGOV",VTOTAL1,SUM(OFFSET(CÁLCULO!$AA$15,ROW($X72)-ROW($X$15),1):OFFSET(CÁLCULO!$AL$15,ROW($X72)-ROW($X$15),-1))),IF($C72=0,0,ROUND(SomaAgrup,15-13*$AF$11)))</f>
        <v>13569.36</v>
      </c>
      <c r="Y72" s="128" t="s">
        <v>245</v>
      </c>
      <c r="Z72" t="str">
        <f t="shared" ca="1" si="12"/>
        <v>RA</v>
      </c>
      <c r="AA72" s="129">
        <f ca="1">IF($C72="S",IF($Z72="CP",$X72,IF($Z72="RA",(($X72)*QCI!$AA$3),0)),SomaAgrup)</f>
        <v>13569.36</v>
      </c>
      <c r="AB72" s="130">
        <f t="shared" ca="1" si="13"/>
        <v>0</v>
      </c>
      <c r="AC72" s="131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t="str">
        <f ca="1">IF(C72&lt;=CRONO.NivelExibicao,MAX($AD$15:OFFSET(AD72,-1,0))+IF($C72&lt;&gt;1,1,MAX(1,COUNTIF(QCI!$A$13:$A$24,OFFSET($E72,-1,0)))),"")</f>
        <v/>
      </c>
      <c r="AE72" s="7" t="str">
        <f ca="1">IF(AND($C72="S",ORÇAMENTO.CodBarra&lt;&gt;""),IF(ORÇAMENTO.Fonte="",ORÇAMENTO.CodBarra,CONCATENATE(ORÇAMENTO.Fonte," ",ORÇAMENTO.CodBarra)))</f>
        <v>Composição 06</v>
      </c>
      <c r="AF72" s="13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8</v>
      </c>
      <c r="AG72" s="498">
        <f ca="1">ROUND(IF(DESONERACAO="sim",REFERENCIA.Desonerado,REFERENCIA.NaoDesonerado),2)</f>
        <v>939.58</v>
      </c>
      <c r="AH72" s="499">
        <f t="shared" ca="1" si="14"/>
        <v>0.20349999999999999</v>
      </c>
      <c r="AJ72" s="501">
        <v>12</v>
      </c>
      <c r="AL72" s="527"/>
      <c r="AM72" s="381">
        <f t="shared" ca="1" si="0"/>
        <v>13569.36</v>
      </c>
      <c r="AN72" s="566">
        <f t="shared" ca="1" si="15"/>
        <v>1130.78</v>
      </c>
    </row>
    <row r="73" spans="1:40" ht="25.5" x14ac:dyDescent="0.2">
      <c r="A73" t="str">
        <f t="shared" si="1"/>
        <v>S</v>
      </c>
      <c r="B73">
        <f t="shared" ca="1" si="2"/>
        <v>2</v>
      </c>
      <c r="C73" t="str">
        <f t="shared" ca="1" si="3"/>
        <v>S</v>
      </c>
      <c r="D73">
        <f t="shared" ca="1" si="4"/>
        <v>0</v>
      </c>
      <c r="E73">
        <f ca="1">IF($C73=1,OFFSET(E73,-1,0)+MAX(1,COUNTIF(QCI!$A$13:$A$24,OFFSET(ORÇAMENTO!E73,-1,0))),OFFSET(E73,-1,0))</f>
        <v>5</v>
      </c>
      <c r="F73">
        <f t="shared" ca="1" si="5"/>
        <v>1</v>
      </c>
      <c r="G73">
        <f t="shared" ca="1" si="6"/>
        <v>0</v>
      </c>
      <c r="H73">
        <f t="shared" ca="1" si="7"/>
        <v>0</v>
      </c>
      <c r="I73">
        <f t="shared" ca="1" si="8"/>
        <v>2</v>
      </c>
      <c r="J73">
        <f ca="1">IF(OR($C73="S",$C73=0),0,MATCH(0,OFFSET($D73,1,$C73,ROW($C$165)-ROW($C73)),0))</f>
        <v>0</v>
      </c>
      <c r="K73">
        <f ca="1">IF(OR($C73="S",$C73=0),0,MATCH(OFFSET($D73,0,$C73)+IF($C73&lt;&gt;1,1,COUNTIF(QCI!$A$13:$A$24,ORÇAMENTO!E73)),OFFSET($D73,1,$C73,ROW($C$165)-ROW($C73)),0))</f>
        <v>0</v>
      </c>
      <c r="L73" s="116" t="str">
        <f t="shared" ca="1" si="9"/>
        <v>F</v>
      </c>
      <c r="M73" s="117" t="s">
        <v>199</v>
      </c>
      <c r="N73" s="118" t="str">
        <f t="shared" ca="1" si="10"/>
        <v>Serviço</v>
      </c>
      <c r="O73" s="119" t="str">
        <f t="shared" ca="1" si="11"/>
        <v>5.1.2.</v>
      </c>
      <c r="P73" s="120" t="s">
        <v>247</v>
      </c>
      <c r="Q73" s="121" t="s">
        <v>462</v>
      </c>
      <c r="R73" s="122" t="s">
        <v>538</v>
      </c>
      <c r="S73" s="123" t="str">
        <f ca="1">REFERENCIA.Unidade</f>
        <v>M2</v>
      </c>
      <c r="T73" s="124">
        <f ca="1">OFFSET(CÁLCULO!H$15,ROW($T73)-ROW(T$15),0)</f>
        <v>240.24</v>
      </c>
      <c r="U73" s="125">
        <f t="shared" ca="1" si="32"/>
        <v>84.04</v>
      </c>
      <c r="V73" s="126" t="s">
        <v>156</v>
      </c>
      <c r="W73" s="124">
        <f ca="1">IF($C73="S",ROUND(IF(TIPOORCAMENTO="Proposto",ORÇAMENTO.CustoUnitario*(1+$AH73),ORÇAMENTO.PrecoUnitarioLicitado),15-13*$AF$10),0)</f>
        <v>101.14</v>
      </c>
      <c r="X73" s="127">
        <f ca="1">IF($C73="S",IF(Import.TipoArredondamento&lt;&gt;"TransfereGOV",VTOTAL1,SUM(OFFSET(CÁLCULO!$AA$15,ROW($X73)-ROW($X$15),1):OFFSET(CÁLCULO!$AL$15,ROW($X73)-ROW($X$15),-1))),IF($C73=0,0,ROUND(SomaAgrup,15-13*$AF$11)))</f>
        <v>24297.87</v>
      </c>
      <c r="Y73" s="128" t="s">
        <v>245</v>
      </c>
      <c r="Z73" t="str">
        <f t="shared" ca="1" si="12"/>
        <v>RA</v>
      </c>
      <c r="AA73" s="129">
        <f ca="1">IF($C73="S",IF($Z73="CP",$X73,IF($Z73="RA",(($X73)*QCI!$AA$3),0)),SomaAgrup)</f>
        <v>24297.87</v>
      </c>
      <c r="AB73" s="130">
        <f t="shared" ca="1" si="13"/>
        <v>0</v>
      </c>
      <c r="AC73" s="131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 t="str">
        <f ca="1">IF(C73&lt;=CRONO.NivelExibicao,MAX($AD$15:OFFSET(AD73,-1,0))+IF($C73&lt;&gt;1,1,MAX(1,COUNTIF(QCI!$A$13:$A$24,OFFSET($E73,-1,0)))),"")</f>
        <v/>
      </c>
      <c r="AE73" s="7" t="str">
        <f ca="1">IF(AND($C73="S",ORÇAMENTO.CodBarra&lt;&gt;""),IF(ORÇAMENTO.Fonte="",ORÇAMENTO.CodBarra,CONCATENATE(ORÇAMENTO.Fonte," ",ORÇAMENTO.CodBarra)))</f>
        <v>SINAPI 94213</v>
      </c>
      <c r="AF73" s="13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15827</v>
      </c>
      <c r="AG73" s="498">
        <f ca="1">ROUND(IF(DESONERACAO="sim",REFERENCIA.Desonerado,REFERENCIA.NaoDesonerado),2)</f>
        <v>84.04</v>
      </c>
      <c r="AH73" s="499">
        <f t="shared" ca="1" si="14"/>
        <v>0.20349999999999999</v>
      </c>
      <c r="AJ73" s="501">
        <v>240.24</v>
      </c>
      <c r="AL73" s="527"/>
      <c r="AM73" s="381">
        <f t="shared" ca="1" si="0"/>
        <v>24297.87</v>
      </c>
      <c r="AN73" s="566">
        <f t="shared" ca="1" si="15"/>
        <v>101.14</v>
      </c>
    </row>
    <row r="74" spans="1:40" ht="25.5" x14ac:dyDescent="0.2">
      <c r="A74" t="str">
        <f t="shared" ref="A74:A83" si="71">CHOOSE(1+LOG(1+2*(ORÇAMENTO.Nivel="Meta")+4*(ORÇAMENTO.Nivel="Nível 2")+8*(ORÇAMENTO.Nivel="Nível 3")+16*(ORÇAMENTO.Nivel="Nível 4")+32*(ORÇAMENTO.Nivel="Serviço"),2),0,1,2,3,4,"S")</f>
        <v>S</v>
      </c>
      <c r="B74">
        <f ca="1">IF(OR(C74="s",C74=0),OFFSET(B74,-1,0),C74)</f>
        <v>2</v>
      </c>
      <c r="C74" t="str">
        <f ca="1">IF(OFFSET(C74,-1,0)="L",1,IF(OFFSET(C74,-1,0)=1,2,IF(OR(A74="s",A74=0),"S",IF(AND(OFFSET(C74,-1,0)=2,A74=4),3,IF(AND(OR(OFFSET(C74,-1,0)="s",OFFSET(C74,-1,0)=0),A74&lt;&gt;"s",A74&gt;OFFSET(B74,-1,0)),OFFSET(B74,-1,0),A74)))))</f>
        <v>S</v>
      </c>
      <c r="D74">
        <f ca="1">IF(OR(C74="S",C74=0),0,IF(ISERROR(K74),J74,SMALL(J74:K74,1)))</f>
        <v>0</v>
      </c>
      <c r="E74">
        <f ca="1">IF($C74=1,OFFSET(E74,-1,0)+MAX(1,COUNTIF(QCI!$A$13:$A$24,OFFSET(ORÇAMENTO!E74,-1,0))),OFFSET(E74,-1,0))</f>
        <v>5</v>
      </c>
      <c r="F74">
        <f ca="1">IF($C74=1,0,IF($C74=2,OFFSET(F74,-1,0)+1,OFFSET(F74,-1,0)))</f>
        <v>1</v>
      </c>
      <c r="G74">
        <f ca="1">IF(AND($C74&lt;=2,$C74&lt;&gt;0),0,IF($C74=3,OFFSET(G74,-1,0)+1,OFFSET(G74,-1,0)))</f>
        <v>0</v>
      </c>
      <c r="H74">
        <f ca="1">IF(AND($C74&lt;=3,$C74&lt;&gt;0),0,IF($C74=4,OFFSET(H74,-1,0)+1,OFFSET(H74,-1,0)))</f>
        <v>0</v>
      </c>
      <c r="I74">
        <f ca="1">IF(AND($C74&lt;=4,$C74&lt;&gt;0),0,IF(AND($C74="S",$X74&gt;0),OFFSET(I74,-1,0)+1,OFFSET(I74,-1,0)))</f>
        <v>3</v>
      </c>
      <c r="J74">
        <f ca="1">IF(OR($C74="S",$C74=0),0,MATCH(0,OFFSET($D74,1,$C74,ROW($C$165)-ROW($C74)),0))</f>
        <v>0</v>
      </c>
      <c r="K74">
        <f ca="1">IF(OR($C74="S",$C74=0),0,MATCH(OFFSET($D74,0,$C74)+IF($C74&lt;&gt;1,1,COUNTIF(QCI!$A$13:$A$24,ORÇAMENTO!E74)),OFFSET($D74,1,$C74,ROW($C$165)-ROW($C74)),0))</f>
        <v>0</v>
      </c>
      <c r="L74" s="116" t="str">
        <f ca="1">IF(OR($X74&gt;0,$C74=1,$C74=2,$C74=3,$C74=4),"F","")</f>
        <v>F</v>
      </c>
      <c r="M74" s="117" t="s">
        <v>199</v>
      </c>
      <c r="N74" s="118" t="str">
        <f ca="1">CHOOSE(1+LOG(1+2*(C74=1)+4*(C74=2)+8*(C74=3)+16*(C74=4)+32*(C74="S"),2),"","Meta","Nível 2","Nível 3","Nível 4","Serviço")</f>
        <v>Serviço</v>
      </c>
      <c r="O74" s="119" t="str">
        <f ca="1">IF(OR($C74=0,$L74=""),"-",CONCATENATE(E74&amp;".",IF(AND($A$5&gt;=2,$C74&gt;=2),F74&amp;".",""),IF(AND($A$5&gt;=3,$C74&gt;=3),G74&amp;".",""),IF(AND($A$5&gt;=4,$C74&gt;=4),H74&amp;".",""),IF($C74="S",I74&amp;".","")))</f>
        <v>5.1.3.</v>
      </c>
      <c r="P74" s="120" t="s">
        <v>449</v>
      </c>
      <c r="Q74" s="121" t="s">
        <v>533</v>
      </c>
      <c r="R74" s="122" t="str">
        <f ca="1">IF($C74="S",REFERENCIA.Descricao,"(digite a descrição aqui)")</f>
        <v>RUFO INTERNO/EXTERNO DE CHAPA DE ACO GALVANIZADA NUM 24, CORTE 25 CM</v>
      </c>
      <c r="S74" s="123" t="str">
        <f ca="1">REFERENCIA.Unidade</f>
        <v>M</v>
      </c>
      <c r="T74" s="124">
        <f ca="1">OFFSET(CÁLCULO!H$15,ROW($T74)-ROW(T$15),0)</f>
        <v>4.3</v>
      </c>
      <c r="U74" s="125">
        <f t="shared" ca="1" si="32"/>
        <v>26.74</v>
      </c>
      <c r="V74" s="126" t="s">
        <v>156</v>
      </c>
      <c r="W74" s="124">
        <f ca="1">IF($C74="S",ROUND(IF(TIPOORCAMENTO="Proposto",ORÇAMENTO.CustoUnitario*(1+$AH74),ORÇAMENTO.PrecoUnitarioLicitado),15-13*$AF$10),0)</f>
        <v>32.18</v>
      </c>
      <c r="X74" s="127">
        <f ca="1">IF($C74="S",IF(Import.TipoArredondamento&lt;&gt;"TransfereGOV",VTOTAL1,SUM(OFFSET(CÁLCULO!$AA$15,ROW($X74)-ROW($X$15),1):OFFSET(CÁLCULO!$AL$15,ROW($X74)-ROW($X$15),-1))),IF($C74=0,0,ROUND(SomaAgrup,15-13*$AF$11)))</f>
        <v>138.37</v>
      </c>
      <c r="Y74" s="128" t="s">
        <v>245</v>
      </c>
      <c r="Z74" t="str">
        <f ca="1">IF(AND($C74="S",$X74&gt;0),IF(ISBLANK($Y74),"RA",LEFT($Y74,2)),"")</f>
        <v>RA</v>
      </c>
      <c r="AA74" s="129">
        <f ca="1">IF($C74="S",IF($Z74="CP",$X74,IF($Z74="RA",(($X74)*QCI!$AA$3),0)),SomaAgrup)</f>
        <v>138.37</v>
      </c>
      <c r="AB74" s="130">
        <f t="shared" ref="AB74:AB83" ca="1" si="72">IF($C74="S",IF($Z74="OU",ROUND($X74,2),0),SomaAgrup)</f>
        <v>0</v>
      </c>
      <c r="AC74" s="131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 t="str">
        <f ca="1">IF(C74&lt;=CRONO.NivelExibicao,MAX($AD$15:OFFSET(AD74,-1,0))+IF($C74&lt;&gt;1,1,MAX(1,COUNTIF(QCI!$A$13:$A$24,OFFSET($E74,-1,0)))),"")</f>
        <v/>
      </c>
      <c r="AE74" s="7" t="str">
        <f ca="1">IF(AND($C74="S",ORÇAMENTO.CodBarra&lt;&gt;""),IF(ORÇAMENTO.Fonte="",ORÇAMENTO.CodBarra,CONCATENATE(ORÇAMENTO.Fonte," ",ORÇAMENTO.CodBarra)))</f>
        <v>SINAPI-I 40873</v>
      </c>
      <c r="AF74" s="13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3817</v>
      </c>
      <c r="AG74" s="498">
        <f ca="1">ROUND(IF(DESONERACAO="sim",REFERENCIA.Desonerado,REFERENCIA.NaoDesonerado),2)</f>
        <v>26.74</v>
      </c>
      <c r="AH74" s="499">
        <f t="shared" ref="AH74:AH83" ca="1" si="73">ROUND(IF(ISNUMBER(ORÇAMENTO.OpcaoBDI),ORÇAMENTO.OpcaoBDI,IF(LEFT(ORÇAMENTO.OpcaoBDI,3)="BDI",HLOOKUP(ORÇAMENTO.OpcaoBDI,$F$4:$H$5,2,FALSE),0)),15-11*$AF$9)</f>
        <v>0.20349999999999999</v>
      </c>
      <c r="AJ74" s="501">
        <v>4.3</v>
      </c>
      <c r="AL74" s="527"/>
      <c r="AM74" s="381">
        <f t="shared" ca="1" si="0"/>
        <v>138.37</v>
      </c>
      <c r="AN74" s="566">
        <f t="shared" ref="AN74:AN83" ca="1" si="74">ROUND(ORÇAMENTO.CustoUnitario*(1+$AH74),2)</f>
        <v>32.18</v>
      </c>
    </row>
    <row r="75" spans="1:40" ht="38.25" x14ac:dyDescent="0.2">
      <c r="A75" t="str">
        <f t="shared" si="71"/>
        <v>S</v>
      </c>
      <c r="B75">
        <f ca="1">IF(OR(C75="s",C75=0),OFFSET(B75,-1,0),C75)</f>
        <v>2</v>
      </c>
      <c r="C75" t="str">
        <f ca="1">IF(OFFSET(C75,-1,0)="L",1,IF(OFFSET(C75,-1,0)=1,2,IF(OR(A75="s",A75=0),"S",IF(AND(OFFSET(C75,-1,0)=2,A75=4),3,IF(AND(OR(OFFSET(C75,-1,0)="s",OFFSET(C75,-1,0)=0),A75&lt;&gt;"s",A75&gt;OFFSET(B75,-1,0)),OFFSET(B75,-1,0),A75)))))</f>
        <v>S</v>
      </c>
      <c r="D75">
        <f ca="1">IF(OR(C75="S",C75=0),0,IF(ISERROR(K75),J75,SMALL(J75:K75,1)))</f>
        <v>0</v>
      </c>
      <c r="E75">
        <f ca="1">IF($C75=1,OFFSET(E75,-1,0)+MAX(1,COUNTIF(QCI!$A$13:$A$24,OFFSET(ORÇAMENTO!E75,-1,0))),OFFSET(E75,-1,0))</f>
        <v>5</v>
      </c>
      <c r="F75">
        <f ca="1">IF($C75=1,0,IF($C75=2,OFFSET(F75,-1,0)+1,OFFSET(F75,-1,0)))</f>
        <v>1</v>
      </c>
      <c r="G75">
        <f ca="1">IF(AND($C75&lt;=2,$C75&lt;&gt;0),0,IF($C75=3,OFFSET(G75,-1,0)+1,OFFSET(G75,-1,0)))</f>
        <v>0</v>
      </c>
      <c r="H75">
        <f ca="1">IF(AND($C75&lt;=3,$C75&lt;&gt;0),0,IF($C75=4,OFFSET(H75,-1,0)+1,OFFSET(H75,-1,0)))</f>
        <v>0</v>
      </c>
      <c r="I75">
        <f ca="1">IF(AND($C75&lt;=4,$C75&lt;&gt;0),0,IF(AND($C75="S",$X75&gt;0),OFFSET(I75,-1,0)+1,OFFSET(I75,-1,0)))</f>
        <v>4</v>
      </c>
      <c r="J75">
        <f ca="1">IF(OR($C75="S",$C75=0),0,MATCH(0,OFFSET($D75,1,$C75,ROW($C$165)-ROW($C75)),0))</f>
        <v>0</v>
      </c>
      <c r="K75">
        <f ca="1">IF(OR($C75="S",$C75=0),0,MATCH(OFFSET($D75,0,$C75)+IF($C75&lt;&gt;1,1,COUNTIF(QCI!$A$13:$A$24,ORÇAMENTO!E75)),OFFSET($D75,1,$C75,ROW($C$165)-ROW($C75)),0))</f>
        <v>0</v>
      </c>
      <c r="L75" s="116" t="str">
        <f ca="1">IF(OR($X75&gt;0,$C75=1,$C75=2,$C75=3,$C75=4),"F","")</f>
        <v>F</v>
      </c>
      <c r="M75" s="117" t="s">
        <v>199</v>
      </c>
      <c r="N75" s="118" t="str">
        <f ca="1">CHOOSE(1+LOG(1+2*(C75=1)+4*(C75=2)+8*(C75=3)+16*(C75=4)+32*(C75="S"),2),"","Meta","Nível 2","Nível 3","Nível 4","Serviço")</f>
        <v>Serviço</v>
      </c>
      <c r="O75" s="119" t="str">
        <f ca="1">IF(OR($C75=0,$L75=""),"-",CONCATENATE(E75&amp;".",IF(AND($A$5&gt;=2,$C75&gt;=2),F75&amp;".",""),IF(AND($A$5&gt;=3,$C75&gt;=3),G75&amp;".",""),IF(AND($A$5&gt;=4,$C75&gt;=4),H75&amp;".",""),IF($C75="S",I75&amp;".","")))</f>
        <v>5.1.4.</v>
      </c>
      <c r="P75" s="120" t="s">
        <v>247</v>
      </c>
      <c r="Q75" s="121" t="s">
        <v>534</v>
      </c>
      <c r="R75" s="122" t="str">
        <f ca="1">IF($C75="S",REFERENCIA.Descricao,"(digite a descrição aqui)")</f>
        <v>LAJE PRÉ-MOLDADA UNIDIRECIONAL, BIAPOIADA, PARA FORRO, ENCHIMENTO EM CERÂMICA, VIGOTA TRELIÇADA, ALTURA TOTAL DA LAJE "LT" = 12 CM (ENCHIMENTO+CAPA) = (8+4). AF_08/2025</v>
      </c>
      <c r="S75" s="123" t="str">
        <f ca="1">REFERENCIA.Unidade</f>
        <v>M2</v>
      </c>
      <c r="T75" s="124">
        <f ca="1">OFFSET(CÁLCULO!H$15,ROW($T75)-ROW(T$15),0)</f>
        <v>5.58</v>
      </c>
      <c r="U75" s="125">
        <f t="shared" ca="1" si="32"/>
        <v>236.66</v>
      </c>
      <c r="V75" s="126" t="s">
        <v>156</v>
      </c>
      <c r="W75" s="124">
        <f ca="1">IF($C75="S",ROUND(IF(TIPOORCAMENTO="Proposto",ORÇAMENTO.CustoUnitario*(1+$AH75),ORÇAMENTO.PrecoUnitarioLicitado),15-13*$AF$10),0)</f>
        <v>284.82</v>
      </c>
      <c r="X75" s="127">
        <f ca="1">IF($C75="S",IF(Import.TipoArredondamento&lt;&gt;"TransfereGOV",VTOTAL1,SUM(OFFSET(CÁLCULO!$AA$15,ROW($X75)-ROW($X$15),1):OFFSET(CÁLCULO!$AL$15,ROW($X75)-ROW($X$15),-1))),IF($C75=0,0,ROUND(SomaAgrup,15-13*$AF$11)))</f>
        <v>1589.3</v>
      </c>
      <c r="Y75" s="128" t="s">
        <v>245</v>
      </c>
      <c r="Z75" t="str">
        <f ca="1">IF(AND($C75="S",$X75&gt;0),IF(ISBLANK($Y75),"RA",LEFT($Y75,2)),"")</f>
        <v>RA</v>
      </c>
      <c r="AA75" s="129">
        <f ca="1">IF($C75="S",IF($Z75="CP",$X75,IF($Z75="RA",(($X75)*QCI!$AA$3),0)),SomaAgrup)</f>
        <v>1589.3</v>
      </c>
      <c r="AB75" s="130">
        <f t="shared" ca="1" si="72"/>
        <v>0</v>
      </c>
      <c r="AC75" s="131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 t="str">
        <f ca="1">IF(C75&lt;=CRONO.NivelExibicao,MAX($AD$15:OFFSET(AD75,-1,0))+IF($C75&lt;&gt;1,1,MAX(1,COUNTIF(QCI!$A$13:$A$24,OFFSET($E75,-1,0)))),"")</f>
        <v/>
      </c>
      <c r="AE75" s="7" t="str">
        <f ca="1">IF(AND($C75="S",ORÇAMENTO.CodBarra&lt;&gt;""),IF(ORÇAMENTO.Fonte="",ORÇAMENTO.CodBarra,CONCATENATE(ORÇAMENTO.Fonte," ",ORÇAMENTO.CodBarra)))</f>
        <v>SINAPI 106059</v>
      </c>
      <c r="AF75" s="13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13224</v>
      </c>
      <c r="AG75" s="498">
        <f ca="1">ROUND(IF(DESONERACAO="sim",REFERENCIA.Desonerado,REFERENCIA.NaoDesonerado),2)</f>
        <v>236.66</v>
      </c>
      <c r="AH75" s="499">
        <f t="shared" ca="1" si="73"/>
        <v>0.20349999999999999</v>
      </c>
      <c r="AJ75" s="501">
        <f>2.79*2</f>
        <v>5.58</v>
      </c>
      <c r="AL75" s="527"/>
      <c r="AM75" s="381">
        <f t="shared" ca="1" si="0"/>
        <v>1589.3</v>
      </c>
      <c r="AN75" s="566">
        <f t="shared" ca="1" si="74"/>
        <v>284.82</v>
      </c>
    </row>
    <row r="76" spans="1:40" x14ac:dyDescent="0.2">
      <c r="A76" t="str">
        <f t="shared" si="71"/>
        <v>S</v>
      </c>
      <c r="B76">
        <f ca="1">IF(OR(C76="s",C76=0),OFFSET(B76,-1,0),C76)</f>
        <v>2</v>
      </c>
      <c r="C76" t="str">
        <f ca="1">IF(OFFSET(C76,-1,0)="L",1,IF(OFFSET(C76,-1,0)=1,2,IF(OR(A76="s",A76=0),"S",IF(AND(OFFSET(C76,-1,0)=2,A76=4),3,IF(AND(OR(OFFSET(C76,-1,0)="s",OFFSET(C76,-1,0)=0),A76&lt;&gt;"s",A76&gt;OFFSET(B76,-1,0)),OFFSET(B76,-1,0),A76)))))</f>
        <v>S</v>
      </c>
      <c r="D76">
        <f ca="1">IF(OR(C76="S",C76=0),0,IF(ISERROR(K76),J76,SMALL(J76:K76,1)))</f>
        <v>0</v>
      </c>
      <c r="E76">
        <f ca="1">IF($C76=1,OFFSET(E76,-1,0)+MAX(1,COUNTIF(QCI!$A$13:$A$24,OFFSET(ORÇAMENTO!E76,-1,0))),OFFSET(E76,-1,0))</f>
        <v>5</v>
      </c>
      <c r="F76">
        <f ca="1">IF($C76=1,0,IF($C76=2,OFFSET(F76,-1,0)+1,OFFSET(F76,-1,0)))</f>
        <v>1</v>
      </c>
      <c r="G76">
        <f ca="1">IF(AND($C76&lt;=2,$C76&lt;&gt;0),0,IF($C76=3,OFFSET(G76,-1,0)+1,OFFSET(G76,-1,0)))</f>
        <v>0</v>
      </c>
      <c r="H76">
        <f ca="1">IF(AND($C76&lt;=3,$C76&lt;&gt;0),0,IF($C76=4,OFFSET(H76,-1,0)+1,OFFSET(H76,-1,0)))</f>
        <v>0</v>
      </c>
      <c r="I76">
        <f ca="1">IF(AND($C76&lt;=4,$C76&lt;&gt;0),0,IF(AND($C76="S",$X76&gt;0),OFFSET(I76,-1,0)+1,OFFSET(I76,-1,0)))</f>
        <v>5</v>
      </c>
      <c r="J76">
        <f ca="1">IF(OR($C76="S",$C76=0),0,MATCH(0,OFFSET($D76,1,$C76,ROW($C$165)-ROW($C76)),0))</f>
        <v>0</v>
      </c>
      <c r="K76">
        <f ca="1">IF(OR($C76="S",$C76=0),0,MATCH(OFFSET($D76,0,$C76)+IF($C76&lt;&gt;1,1,COUNTIF(QCI!$A$13:$A$24,ORÇAMENTO!E76)),OFFSET($D76,1,$C76,ROW($C$165)-ROW($C76)),0))</f>
        <v>0</v>
      </c>
      <c r="L76" s="116" t="str">
        <f ca="1">IF(OR($X76&gt;0,$C76=1,$C76=2,$C76=3,$C76=4),"F","")</f>
        <v>F</v>
      </c>
      <c r="M76" s="117" t="s">
        <v>199</v>
      </c>
      <c r="N76" s="118" t="str">
        <f ca="1">CHOOSE(1+LOG(1+2*(C76=1)+4*(C76=2)+8*(C76=3)+16*(C76=4)+32*(C76="S"),2),"","Meta","Nível 2","Nível 3","Nível 4","Serviço")</f>
        <v>Serviço</v>
      </c>
      <c r="O76" s="119" t="str">
        <f ca="1">IF(OR($C76=0,$L76=""),"-",CONCATENATE(E76&amp;".",IF(AND($A$5&gt;=2,$C76&gt;=2),F76&amp;".",""),IF(AND($A$5&gt;=3,$C76&gt;=3),G76&amp;".",""),IF(AND($A$5&gt;=4,$C76&gt;=4),H76&amp;".",""),IF($C76="S",I76&amp;".","")))</f>
        <v>5.1.5.</v>
      </c>
      <c r="P76" s="120" t="s">
        <v>491</v>
      </c>
      <c r="Q76" s="121" t="s">
        <v>536</v>
      </c>
      <c r="R76" s="122" t="str">
        <f ca="1">IF($C76="S",REFERENCIA.Descricao,"(digite a descrição aqui)")</f>
        <v>FECHAMENTO METÁLICO VERTICAL</v>
      </c>
      <c r="S76" s="123" t="str">
        <f ca="1">REFERENCIA.Unidade</f>
        <v>M2</v>
      </c>
      <c r="T76" s="124">
        <f ca="1">OFFSET(CÁLCULO!H$15,ROW($T76)-ROW(T$15),0)</f>
        <v>56.76</v>
      </c>
      <c r="U76" s="125">
        <f t="shared" ca="1" si="32"/>
        <v>84.04</v>
      </c>
      <c r="V76" s="126" t="s">
        <v>156</v>
      </c>
      <c r="W76" s="124">
        <f ca="1">IF($C76="S",ROUND(IF(TIPOORCAMENTO="Proposto",ORÇAMENTO.CustoUnitario*(1+$AH76),ORÇAMENTO.PrecoUnitarioLicitado),15-13*$AF$10),0)</f>
        <v>101.14</v>
      </c>
      <c r="X76" s="127">
        <f ca="1">IF($C76="S",IF(Import.TipoArredondamento&lt;&gt;"TransfereGOV",VTOTAL1,SUM(OFFSET(CÁLCULO!$AA$15,ROW($X76)-ROW($X$15),1):OFFSET(CÁLCULO!$AL$15,ROW($X76)-ROW($X$15),-1))),IF($C76=0,0,ROUND(SomaAgrup,15-13*$AF$11)))</f>
        <v>5740.71</v>
      </c>
      <c r="Y76" s="128" t="s">
        <v>245</v>
      </c>
      <c r="Z76" t="str">
        <f ca="1">IF(AND($C76="S",$X76&gt;0),IF(ISBLANK($Y76),"RA",LEFT($Y76,2)),"")</f>
        <v>RA</v>
      </c>
      <c r="AA76" s="129">
        <f ca="1">IF($C76="S",IF($Z76="CP",$X76,IF($Z76="RA",(($X76)*QCI!$AA$3),0)),SomaAgrup)</f>
        <v>5740.71</v>
      </c>
      <c r="AB76" s="130">
        <f t="shared" ca="1" si="72"/>
        <v>0</v>
      </c>
      <c r="AC76" s="131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t="str">
        <f ca="1">IF(C76&lt;=CRONO.NivelExibicao,MAX($AD$15:OFFSET(AD76,-1,0))+IF($C76&lt;&gt;1,1,MAX(1,COUNTIF(QCI!$A$13:$A$24,OFFSET($E76,-1,0)))),"")</f>
        <v/>
      </c>
      <c r="AE76" s="7" t="str">
        <f ca="1">IF(AND($C76="S",ORÇAMENTO.CodBarra&lt;&gt;""),IF(ORÇAMENTO.Fonte="",ORÇAMENTO.CodBarra,CONCATENATE(ORÇAMENTO.Fonte," ",ORÇAMENTO.CodBarra)))</f>
        <v>Composição 04</v>
      </c>
      <c r="AF76" s="13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6</v>
      </c>
      <c r="AG76" s="498">
        <f ca="1">ROUND(IF(DESONERACAO="sim",REFERENCIA.Desonerado,REFERENCIA.NaoDesonerado),2)</f>
        <v>84.04</v>
      </c>
      <c r="AH76" s="499">
        <f t="shared" ca="1" si="73"/>
        <v>0.20349999999999999</v>
      </c>
      <c r="AJ76" s="501">
        <v>56.76</v>
      </c>
      <c r="AL76" s="527"/>
      <c r="AM76" s="381">
        <f t="shared" ca="1" si="0"/>
        <v>5740.71</v>
      </c>
      <c r="AN76" s="566">
        <f t="shared" ca="1" si="74"/>
        <v>101.14</v>
      </c>
    </row>
    <row r="77" spans="1:40" x14ac:dyDescent="0.2">
      <c r="A77">
        <f t="shared" si="71"/>
        <v>2</v>
      </c>
      <c r="B77">
        <f t="shared" ref="B77:B79" ca="1" si="75">IF(OR(C77="s",C77=0),OFFSET(B77,-1,0),C77)</f>
        <v>2</v>
      </c>
      <c r="C77">
        <f t="shared" ref="C77:C79" ca="1" si="76">IF(OFFSET(C77,-1,0)="L",1,IF(OFFSET(C77,-1,0)=1,2,IF(OR(A77="s",A77=0),"S",IF(AND(OFFSET(C77,-1,0)=2,A77=4),3,IF(AND(OR(OFFSET(C77,-1,0)="s",OFFSET(C77,-1,0)=0),A77&lt;&gt;"s",A77&gt;OFFSET(B77,-1,0)),OFFSET(B77,-1,0),A77)))))</f>
        <v>2</v>
      </c>
      <c r="D77">
        <f t="shared" ref="D77:D79" ca="1" si="77">IF(OR(C77="S",C77=0),0,IF(ISERROR(K77),J77,SMALL(J77:K77,1)))</f>
        <v>3</v>
      </c>
      <c r="E77">
        <f ca="1">IF($C77=1,OFFSET(E77,-1,0)+MAX(1,COUNTIF(QCI!$A$13:$A$24,OFFSET(ORÇAMENTO!E77,-1,0))),OFFSET(E77,-1,0))</f>
        <v>5</v>
      </c>
      <c r="F77">
        <f t="shared" ref="F77:F79" ca="1" si="78">IF($C77=1,0,IF($C77=2,OFFSET(F77,-1,0)+1,OFFSET(F77,-1,0)))</f>
        <v>2</v>
      </c>
      <c r="G77">
        <f t="shared" ref="G77:G79" ca="1" si="79">IF(AND($C77&lt;=2,$C77&lt;&gt;0),0,IF($C77=3,OFFSET(G77,-1,0)+1,OFFSET(G77,-1,0)))</f>
        <v>0</v>
      </c>
      <c r="H77">
        <f t="shared" ref="H77:H79" ca="1" si="80">IF(AND($C77&lt;=3,$C77&lt;&gt;0),0,IF($C77=4,OFFSET(H77,-1,0)+1,OFFSET(H77,-1,0)))</f>
        <v>0</v>
      </c>
      <c r="I77">
        <f t="shared" ref="I77:I79" ca="1" si="81">IF(AND($C77&lt;=4,$C77&lt;&gt;0),0,IF(AND($C77="S",$X77&gt;0),OFFSET(I77,-1,0)+1,OFFSET(I77,-1,0)))</f>
        <v>0</v>
      </c>
      <c r="J77">
        <f ca="1">IF(OR($C77="S",$C77=0),0,MATCH(0,OFFSET($D77,1,$C77,ROW($C$165)-ROW($C77)),0))</f>
        <v>3</v>
      </c>
      <c r="K77">
        <f ca="1">IF(OR($C77="S",$C77=0),0,MATCH(OFFSET($D77,0,$C77)+IF($C77&lt;&gt;1,1,COUNTIF(QCI!$A$13:$A$24,ORÇAMENTO!E77)),OFFSET($D77,1,$C77,ROW($C$165)-ROW($C77)),0))</f>
        <v>21</v>
      </c>
      <c r="L77" s="116" t="str">
        <f t="shared" ref="L77:L79" ca="1" si="82">IF(OR($X77&gt;0,$C77=1,$C77=2,$C77=3,$C77=4),"F","")</f>
        <v>F</v>
      </c>
      <c r="M77" s="117" t="s">
        <v>196</v>
      </c>
      <c r="N77" s="118" t="str">
        <f t="shared" ref="N77:N79" ca="1" si="83">CHOOSE(1+LOG(1+2*(C77=1)+4*(C77=2)+8*(C77=3)+16*(C77=4)+32*(C77="S"),2),"","Meta","Nível 2","Nível 3","Nível 4","Serviço")</f>
        <v>Nível 2</v>
      </c>
      <c r="O77" s="119" t="str">
        <f t="shared" ref="O77:O79" ca="1" si="84">IF(OR($C77=0,$L77=""),"-",CONCATENATE(E77&amp;".",IF(AND($A$5&gt;=2,$C77&gt;=2),F77&amp;".",""),IF(AND($A$5&gt;=3,$C77&gt;=3),G77&amp;".",""),IF(AND($A$5&gt;=4,$C77&gt;=4),H77&amp;".",""),IF($C77="S",I77&amp;".","")))</f>
        <v>5.2.</v>
      </c>
      <c r="P77" s="120" t="s">
        <v>247</v>
      </c>
      <c r="Q77" s="121"/>
      <c r="R77" s="122" t="s">
        <v>576</v>
      </c>
      <c r="S77" s="123" t="str">
        <f ca="1">REFERENCIA.Unidade</f>
        <v>-</v>
      </c>
      <c r="T77" s="124">
        <f ca="1">OFFSET(CÁLCULO!H$15,ROW($T77)-ROW(T$15),0)</f>
        <v>0</v>
      </c>
      <c r="U77" s="125">
        <f t="shared" ca="1" si="32"/>
        <v>0</v>
      </c>
      <c r="V77" s="126" t="s">
        <v>156</v>
      </c>
      <c r="W77" s="124">
        <f ca="1">IF($C77="S",ROUND(IF(TIPOORCAMENTO="Proposto",ORÇAMENTO.CustoUnitario*(1+$AH77),ORÇAMENTO.PrecoUnitarioLicitado),15-13*$AF$10),0)</f>
        <v>0</v>
      </c>
      <c r="X77" s="127">
        <f ca="1">IF($C77="S",IF(Import.TipoArredondamento&lt;&gt;"TransfereGOV",VTOTAL1,SUM(OFFSET(CÁLCULO!$AA$15,ROW($X77)-ROW($X$15),1):OFFSET(CÁLCULO!$AL$15,ROW($X77)-ROW($X$15),-1))),IF($C77=0,0,ROUND(SomaAgrup,15-13*$AF$11)))</f>
        <v>6661.24</v>
      </c>
      <c r="Y77" s="128" t="s">
        <v>245</v>
      </c>
      <c r="Z77" t="str">
        <f t="shared" ref="Z77:Z79" ca="1" si="85">IF(AND($C77="S",$X77&gt;0),IF(ISBLANK($Y77),"RA",LEFT($Y77,2)),"")</f>
        <v/>
      </c>
      <c r="AA77" s="129">
        <f ca="1">IF($C77="S",IF($Z77="CP",$X77,IF($Z77="RA",(($X77)*QCI!$AA$3),0)),SomaAgrup)</f>
        <v>6661.24</v>
      </c>
      <c r="AB77" s="130">
        <f t="shared" ca="1" si="72"/>
        <v>0</v>
      </c>
      <c r="AC77" s="131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>
        <f ca="1">IF(C77&lt;=CRONO.NivelExibicao,MAX($AD$15:OFFSET(AD77,-1,0))+IF($C77&lt;&gt;1,1,MAX(1,COUNTIF(QCI!$A$13:$A$24,OFFSET($E77,-1,0)))),"")</f>
        <v>17</v>
      </c>
      <c r="AE77" s="7" t="b">
        <f ca="1">IF(AND($C77="S",ORÇAMENTO.CodBarra&lt;&gt;""),IF(ORÇAMENTO.Fonte="",ORÇAMENTO.CodBarra,CONCATENATE(ORÇAMENTO.Fonte," ",ORÇAMENTO.CodBarra)))</f>
        <v>0</v>
      </c>
      <c r="AF77" s="13" t="str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(Sem Código)</v>
      </c>
      <c r="AG77" s="498">
        <f ca="1">ROUND(IF(DESONERACAO="sim",REFERENCIA.Desonerado,REFERENCIA.NaoDesonerado),2)</f>
        <v>0</v>
      </c>
      <c r="AH77" s="499">
        <f t="shared" ca="1" si="73"/>
        <v>0.20349999999999999</v>
      </c>
      <c r="AJ77" s="501"/>
      <c r="AL77" s="527"/>
      <c r="AM77" s="381">
        <f t="shared" ca="1" si="0"/>
        <v>6661.24</v>
      </c>
      <c r="AN77" s="566">
        <f t="shared" ca="1" si="74"/>
        <v>0</v>
      </c>
    </row>
    <row r="78" spans="1:40" ht="38.25" x14ac:dyDescent="0.2">
      <c r="A78" t="str">
        <f t="shared" si="71"/>
        <v>S</v>
      </c>
      <c r="B78">
        <f t="shared" ca="1" si="75"/>
        <v>2</v>
      </c>
      <c r="C78" t="str">
        <f t="shared" ca="1" si="76"/>
        <v>S</v>
      </c>
      <c r="D78">
        <f t="shared" ca="1" si="77"/>
        <v>0</v>
      </c>
      <c r="E78">
        <f ca="1">IF($C78=1,OFFSET(E78,-1,0)+MAX(1,COUNTIF(QCI!$A$13:$A$24,OFFSET(ORÇAMENTO!E78,-1,0))),OFFSET(E78,-1,0))</f>
        <v>5</v>
      </c>
      <c r="F78">
        <f t="shared" ca="1" si="78"/>
        <v>2</v>
      </c>
      <c r="G78">
        <f t="shared" ca="1" si="79"/>
        <v>0</v>
      </c>
      <c r="H78">
        <f t="shared" ca="1" si="80"/>
        <v>0</v>
      </c>
      <c r="I78">
        <f t="shared" ca="1" si="81"/>
        <v>1</v>
      </c>
      <c r="J78">
        <f ca="1">IF(OR($C78="S",$C78=0),0,MATCH(0,OFFSET($D78,1,$C78,ROW($C$165)-ROW($C78)),0))</f>
        <v>0</v>
      </c>
      <c r="K78">
        <f ca="1">IF(OR($C78="S",$C78=0),0,MATCH(OFFSET($D78,0,$C78)+IF($C78&lt;&gt;1,1,COUNTIF(QCI!$A$13:$A$24,ORÇAMENTO!E78)),OFFSET($D78,1,$C78,ROW($C$165)-ROW($C78)),0))</f>
        <v>0</v>
      </c>
      <c r="L78" s="116" t="str">
        <f t="shared" ca="1" si="82"/>
        <v>F</v>
      </c>
      <c r="M78" s="117" t="s">
        <v>199</v>
      </c>
      <c r="N78" s="118" t="str">
        <f t="shared" ca="1" si="83"/>
        <v>Serviço</v>
      </c>
      <c r="O78" s="119" t="str">
        <f t="shared" ca="1" si="84"/>
        <v>5.2.1.</v>
      </c>
      <c r="P78" s="120" t="s">
        <v>247</v>
      </c>
      <c r="Q78" s="121" t="s">
        <v>456</v>
      </c>
      <c r="R78" s="122" t="str">
        <f ca="1">IF($C78="S",REFERENCIA.Descricao,"(digite a descrição aqui)")</f>
        <v>FORRO EM RÉGUAS DE PVC, FRISADO, PARA AMBIENTES RESIDENCIAIS, INCLUSIVE ESTRUTURA UNIDIRECIONAL DE FIXAÇÃO. AF_08/2023_PS</v>
      </c>
      <c r="S78" s="123" t="str">
        <f ca="1">REFERENCIA.Unidade</f>
        <v>M2</v>
      </c>
      <c r="T78" s="124">
        <f ca="1">OFFSET(CÁLCULO!H$15,ROW($T78)-ROW(T$15),0)</f>
        <v>71.010000000000005</v>
      </c>
      <c r="U78" s="125">
        <f t="shared" ca="1" si="32"/>
        <v>72.680000000000007</v>
      </c>
      <c r="V78" s="126" t="s">
        <v>156</v>
      </c>
      <c r="W78" s="124">
        <f ca="1">IF($C78="S",ROUND(IF(TIPOORCAMENTO="Proposto",ORÇAMENTO.CustoUnitario*(1+$AH78),ORÇAMENTO.PrecoUnitarioLicitado),15-13*$AF$10),0)</f>
        <v>87.47</v>
      </c>
      <c r="X78" s="127">
        <f ca="1">IF($C78="S",IF(Import.TipoArredondamento&lt;&gt;"TransfereGOV",VTOTAL1,SUM(OFFSET(CÁLCULO!$AA$15,ROW($X78)-ROW($X$15),1):OFFSET(CÁLCULO!$AL$15,ROW($X78)-ROW($X$15),-1))),IF($C78=0,0,ROUND(SomaAgrup,15-13*$AF$11)))</f>
        <v>6211.24</v>
      </c>
      <c r="Y78" s="128" t="s">
        <v>245</v>
      </c>
      <c r="Z78" t="str">
        <f t="shared" ca="1" si="85"/>
        <v>RA</v>
      </c>
      <c r="AA78" s="129">
        <f ca="1">IF($C78="S",IF($Z78="CP",$X78,IF($Z78="RA",(($X78)*QCI!$AA$3),0)),SomaAgrup)</f>
        <v>6211.24</v>
      </c>
      <c r="AB78" s="130">
        <f t="shared" ca="1" si="72"/>
        <v>0</v>
      </c>
      <c r="AC78" s="131" t="str">
        <f ca="1">IF($N78="","",IF(ORÇAMENTO.Descricao="","DESCRIÇÃO",IF(AND($C78="S",ORÇAMENTO.Unidade=""),"UNIDADE",IF($X78&lt;0,"VALOR NEGATIVO",IF(OR(AND(TIPOORCAMENTO="Proposto",$AG78&lt;&gt;"",$AG78&gt;0,ORÇAMENTO.CustoUnitario&gt;$AG78),AND(TIPOORCAMENTO="LICITADO",ORÇAMENTO.PrecoUnitarioLicitado&gt;$AN78)),"ACIMA REF.","")))))</f>
        <v/>
      </c>
      <c r="AD78" t="str">
        <f ca="1">IF(C78&lt;=CRONO.NivelExibicao,MAX($AD$15:OFFSET(AD78,-1,0))+IF($C78&lt;&gt;1,1,MAX(1,COUNTIF(QCI!$A$13:$A$24,OFFSET($E78,-1,0)))),"")</f>
        <v/>
      </c>
      <c r="AE78" s="7" t="str">
        <f ca="1">IF(AND($C78="S",ORÇAMENTO.CodBarra&lt;&gt;""),IF(ORÇAMENTO.Fonte="",ORÇAMENTO.CodBarra,CONCATENATE(ORÇAMENTO.Fonte," ",ORÇAMENTO.CodBarra)))</f>
        <v>SINAPI 96111</v>
      </c>
      <c r="AF78" s="13">
        <f ca="1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10383</v>
      </c>
      <c r="AG78" s="498">
        <f ca="1">ROUND(IF(DESONERACAO="sim",REFERENCIA.Desonerado,REFERENCIA.NaoDesonerado),2)</f>
        <v>72.680000000000007</v>
      </c>
      <c r="AH78" s="499">
        <f t="shared" ca="1" si="73"/>
        <v>0.20349999999999999</v>
      </c>
      <c r="AJ78" s="501">
        <v>71.010000000000005</v>
      </c>
      <c r="AL78" s="527"/>
      <c r="AM78" s="381">
        <f t="shared" ca="1" si="0"/>
        <v>6211.24</v>
      </c>
      <c r="AN78" s="566">
        <f t="shared" ca="1" si="74"/>
        <v>87.47</v>
      </c>
    </row>
    <row r="79" spans="1:40" x14ac:dyDescent="0.2">
      <c r="A79" t="str">
        <f t="shared" si="71"/>
        <v>S</v>
      </c>
      <c r="B79">
        <f t="shared" ca="1" si="75"/>
        <v>2</v>
      </c>
      <c r="C79" t="str">
        <f t="shared" ca="1" si="76"/>
        <v>S</v>
      </c>
      <c r="D79">
        <f t="shared" ca="1" si="77"/>
        <v>0</v>
      </c>
      <c r="E79">
        <f ca="1">IF($C79=1,OFFSET(E79,-1,0)+MAX(1,COUNTIF(QCI!$A$13:$A$24,OFFSET(ORÇAMENTO!E79,-1,0))),OFFSET(E79,-1,0))</f>
        <v>5</v>
      </c>
      <c r="F79">
        <f t="shared" ca="1" si="78"/>
        <v>2</v>
      </c>
      <c r="G79">
        <f t="shared" ca="1" si="79"/>
        <v>0</v>
      </c>
      <c r="H79">
        <f t="shared" ca="1" si="80"/>
        <v>0</v>
      </c>
      <c r="I79">
        <f t="shared" ca="1" si="81"/>
        <v>2</v>
      </c>
      <c r="J79">
        <f ca="1">IF(OR($C79="S",$C79=0),0,MATCH(0,OFFSET($D79,1,$C79,ROW($C$165)-ROW($C79)),0))</f>
        <v>0</v>
      </c>
      <c r="K79">
        <f ca="1">IF(OR($C79="S",$C79=0),0,MATCH(OFFSET($D79,0,$C79)+IF($C79&lt;&gt;1,1,COUNTIF(QCI!$A$13:$A$24,ORÇAMENTO!E79)),OFFSET($D79,1,$C79,ROW($C$165)-ROW($C79)),0))</f>
        <v>0</v>
      </c>
      <c r="L79" s="116" t="str">
        <f t="shared" ca="1" si="82"/>
        <v>F</v>
      </c>
      <c r="M79" s="117" t="s">
        <v>199</v>
      </c>
      <c r="N79" s="118" t="str">
        <f t="shared" ca="1" si="83"/>
        <v>Serviço</v>
      </c>
      <c r="O79" s="119" t="str">
        <f t="shared" ca="1" si="84"/>
        <v>5.2.2.</v>
      </c>
      <c r="P79" s="120" t="s">
        <v>449</v>
      </c>
      <c r="Q79" s="121" t="s">
        <v>577</v>
      </c>
      <c r="R79" s="122" t="str">
        <f ca="1">IF($C79="S",REFERENCIA.Descricao,"(digite a descrição aqui)")</f>
        <v>RODAFORRO EM PVC, PARA FORRO DE PVC, COMPRIMENTO 6 M</v>
      </c>
      <c r="S79" s="123" t="str">
        <f ca="1">REFERENCIA.Unidade</f>
        <v>M</v>
      </c>
      <c r="T79" s="124">
        <f ca="1">OFFSET(CÁLCULO!H$15,ROW($T79)-ROW(T$15),0)</f>
        <v>72</v>
      </c>
      <c r="U79" s="125">
        <f t="shared" ca="1" si="32"/>
        <v>5.19</v>
      </c>
      <c r="V79" s="126" t="s">
        <v>156</v>
      </c>
      <c r="W79" s="124">
        <f ca="1">IF($C79="S",ROUND(IF(TIPOORCAMENTO="Proposto",ORÇAMENTO.CustoUnitario*(1+$AH79),ORÇAMENTO.PrecoUnitarioLicitado),15-13*$AF$10),0)</f>
        <v>6.25</v>
      </c>
      <c r="X79" s="127">
        <f ca="1">IF($C79="S",IF(Import.TipoArredondamento&lt;&gt;"TransfereGOV",VTOTAL1,SUM(OFFSET(CÁLCULO!$AA$15,ROW($X79)-ROW($X$15),1):OFFSET(CÁLCULO!$AL$15,ROW($X79)-ROW($X$15),-1))),IF($C79=0,0,ROUND(SomaAgrup,15-13*$AF$11)))</f>
        <v>450</v>
      </c>
      <c r="Y79" s="128" t="s">
        <v>245</v>
      </c>
      <c r="Z79" t="str">
        <f t="shared" ca="1" si="85"/>
        <v>RA</v>
      </c>
      <c r="AA79" s="129">
        <f ca="1">IF($C79="S",IF($Z79="CP",$X79,IF($Z79="RA",(($X79)*QCI!$AA$3),0)),SomaAgrup)</f>
        <v>450</v>
      </c>
      <c r="AB79" s="130">
        <f t="shared" ca="1" si="72"/>
        <v>0</v>
      </c>
      <c r="AC79" s="131" t="str">
        <f ca="1">IF($N79="","",IF(ORÇAMENTO.Descricao="","DESCRIÇÃO",IF(AND($C79="S",ORÇAMENTO.Unidade=""),"UNIDADE",IF($X79&lt;0,"VALOR NEGATIVO",IF(OR(AND(TIPOORCAMENTO="Proposto",$AG79&lt;&gt;"",$AG79&gt;0,ORÇAMENTO.CustoUnitario&gt;$AG79),AND(TIPOORCAMENTO="LICITADO",ORÇAMENTO.PrecoUnitarioLicitado&gt;$AN79)),"ACIMA REF.","")))))</f>
        <v/>
      </c>
      <c r="AD79" t="str">
        <f ca="1">IF(C79&lt;=CRONO.NivelExibicao,MAX($AD$15:OFFSET(AD79,-1,0))+IF($C79&lt;&gt;1,1,MAX(1,COUNTIF(QCI!$A$13:$A$24,OFFSET($E79,-1,0)))),"")</f>
        <v/>
      </c>
      <c r="AE79" s="7" t="str">
        <f ca="1">IF(AND($C79="S",ORÇAMENTO.CodBarra&lt;&gt;""),IF(ORÇAMENTO.Fonte="",ORÇAMENTO.CodBarra,CONCATENATE(ORÇAMENTO.Fonte," ",ORÇAMENTO.CodBarra)))</f>
        <v>SINAPI-I 36250</v>
      </c>
      <c r="AF79" s="13">
        <f ca="1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3783</v>
      </c>
      <c r="AG79" s="498">
        <f ca="1">ROUND(IF(DESONERACAO="sim",REFERENCIA.Desonerado,REFERENCIA.NaoDesonerado),2)</f>
        <v>5.19</v>
      </c>
      <c r="AH79" s="499">
        <f t="shared" ca="1" si="73"/>
        <v>0.20349999999999999</v>
      </c>
      <c r="AJ79" s="501">
        <v>72</v>
      </c>
      <c r="AL79" s="527"/>
      <c r="AM79" s="381">
        <f t="shared" ca="1" si="0"/>
        <v>450</v>
      </c>
      <c r="AN79" s="566">
        <f t="shared" ca="1" si="74"/>
        <v>6.25</v>
      </c>
    </row>
    <row r="80" spans="1:40" x14ac:dyDescent="0.2">
      <c r="A80">
        <f>CHOOSE(1+LOG(1+2*(ORÇAMENTO.Nivel="Meta")+4*(ORÇAMENTO.Nivel="Nível 2")+8*(ORÇAMENTO.Nivel="Nível 3")+16*(ORÇAMENTO.Nivel="Nível 4")+32*(ORÇAMENTO.Nivel="Serviço"),2),0,1,2,3,4,"S")</f>
        <v>1</v>
      </c>
      <c r="B80">
        <f ca="1">IF(OR(C80="s",C80=0),OFFSET(B80,-1,0),C80)</f>
        <v>1</v>
      </c>
      <c r="C80">
        <f ca="1">IF(OFFSET(C80,-1,0)="L",1,IF(OFFSET(C80,-1,0)=1,2,IF(OR(A80="s",A80=0),"S",IF(AND(OFFSET(C80,-1,0)=2,A80=4),3,IF(AND(OR(OFFSET(C80,-1,0)="s",OFFSET(C80,-1,0)=0),A80&lt;&gt;"s",A80&gt;OFFSET(B80,-1,0)),OFFSET(B80,-1,0),A80)))))</f>
        <v>1</v>
      </c>
      <c r="D80">
        <f ca="1">IF(OR(C80="S",C80=0),0,IF(ISERROR(K80),J80,SMALL(J80:K80,1)))</f>
        <v>36</v>
      </c>
      <c r="E80">
        <f ca="1">IF($C80=1,OFFSET(E80,-1,0)+MAX(1,COUNTIF(QCI!$A$13:$A$24,OFFSET(ORÇAMENTO!E80,-1,0))),OFFSET(E80,-1,0))</f>
        <v>6</v>
      </c>
      <c r="F80">
        <f ca="1">IF($C80=1,0,IF($C80=2,OFFSET(F80,-1,0)+1,OFFSET(F80,-1,0)))</f>
        <v>0</v>
      </c>
      <c r="G80">
        <f ca="1">IF(AND($C80&lt;=2,$C80&lt;&gt;0),0,IF($C80=3,OFFSET(G80,-1,0)+1,OFFSET(G80,-1,0)))</f>
        <v>0</v>
      </c>
      <c r="H80">
        <f ca="1">IF(AND($C80&lt;=3,$C80&lt;&gt;0),0,IF($C80=4,OFFSET(H80,-1,0)+1,OFFSET(H80,-1,0)))</f>
        <v>0</v>
      </c>
      <c r="I80">
        <f ca="1">IF(AND($C80&lt;=4,$C80&lt;&gt;0),0,IF(AND($C80="S",$X80&gt;0),OFFSET(I80,-1,0)+1,OFFSET(I80,-1,0)))</f>
        <v>0</v>
      </c>
      <c r="J80">
        <f ca="1">IF(OR($C80="S",$C80=0),0,MATCH(0,OFFSET($D80,1,$C80,ROW($C$165)-ROW($C80)),0))</f>
        <v>85</v>
      </c>
      <c r="K80">
        <f ca="1">IF(OR($C80="S",$C80=0),0,MATCH(OFFSET($D80,0,$C80)+IF($C80&lt;&gt;1,1,COUNTIF(QCI!$A$13:$A$24,ORÇAMENTO!E80)),OFFSET($D80,1,$C80,ROW($C$165)-ROW($C80)),0))</f>
        <v>36</v>
      </c>
      <c r="L80" s="116" t="str">
        <f ca="1">IF(OR($X80&gt;0,$C80=1,$C80=2,$C80=3,$C80=4),"F","")</f>
        <v>F</v>
      </c>
      <c r="M80" s="117" t="s">
        <v>195</v>
      </c>
      <c r="N80" s="118" t="str">
        <f ca="1">CHOOSE(1+LOG(1+2*(C80=1)+4*(C80=2)+8*(C80=3)+16*(C80=4)+32*(C80="S"),2),"","Meta","Nível 2","Nível 3","Nível 4","Serviço")</f>
        <v>Meta</v>
      </c>
      <c r="O80" s="119" t="str">
        <f ca="1">IF(OR($C80=0,$L80=""),"-",CONCATENATE(E80&amp;".",IF(AND($A$5&gt;=2,$C80&gt;=2),F80&amp;".",""),IF(AND($A$5&gt;=3,$C80&gt;=3),G80&amp;".",""),IF(AND($A$5&gt;=4,$C80&gt;=4),H80&amp;".",""),IF($C80="S",I80&amp;".","")))</f>
        <v>6.</v>
      </c>
      <c r="P80" s="120" t="s">
        <v>247</v>
      </c>
      <c r="Q80" s="121"/>
      <c r="R80" s="122" t="s">
        <v>586</v>
      </c>
      <c r="S80" s="123" t="str">
        <f ca="1">REFERENCIA.Unidade</f>
        <v>-</v>
      </c>
      <c r="T80" s="124">
        <f ca="1">OFFSET(CÁLCULO!H$15,ROW($T80)-ROW(T$15),0)</f>
        <v>0</v>
      </c>
      <c r="U80" s="125"/>
      <c r="V80" s="126" t="s">
        <v>156</v>
      </c>
      <c r="W80" s="124">
        <f ca="1">IF($C80="S",ROUND(IF(TIPOORCAMENTO="Proposto",ORÇAMENTO.CustoUnitario*(1+$AH80),ORÇAMENTO.PrecoUnitarioLicitado),15-13*$AF$10),0)</f>
        <v>0</v>
      </c>
      <c r="X80" s="127">
        <f ca="1">IF($C80="S",IF(Import.TipoArredondamento&lt;&gt;"TransfereGOV",VTOTAL1,SUM(OFFSET(CÁLCULO!$AA$15,ROW($X80)-ROW($X$15),1):OFFSET(CÁLCULO!$AL$15,ROW($X80)-ROW($X$15),-1))),IF($C80=0,0,ROUND(SomaAgrup,15-13*$AF$11)))</f>
        <v>28243.64</v>
      </c>
      <c r="Y80" s="128" t="s">
        <v>245</v>
      </c>
      <c r="Z80" t="str">
        <f ca="1">IF(AND($C80="S",$X80&gt;0),IF(ISBLANK($Y80),"RA",LEFT($Y80,2)),"")</f>
        <v/>
      </c>
      <c r="AA80" s="129">
        <f ca="1">IF($C80="S",IF($Z80="CP",$X80,IF($Z80="RA",(($X80)*QCI!$AA$3),0)),SomaAgrup)</f>
        <v>28243.640000000003</v>
      </c>
      <c r="AB80" s="130">
        <f ca="1">IF($C80="S",IF($Z80="OU",ROUND($X80,2),0),SomaAgrup)</f>
        <v>0</v>
      </c>
      <c r="AC80" s="131" t="str">
        <f ca="1">IF($N80="","",IF(ORÇAMENTO.Descricao="","DESCRIÇÃO",IF(AND($C80="S",ORÇAMENTO.Unidade=""),"UNIDADE",IF($X80&lt;0,"VALOR NEGATIVO",IF(OR(AND(TIPOORCAMENTO="Proposto",$AG80&lt;&gt;"",$AG80&gt;0,ORÇAMENTO.CustoUnitario&gt;$AG80),AND(TIPOORCAMENTO="LICITADO",ORÇAMENTO.PrecoUnitarioLicitado&gt;$AN80)),"ACIMA REF.","")))))</f>
        <v/>
      </c>
      <c r="AD80">
        <f ca="1">IF(C80&lt;=CRONO.NivelExibicao,MAX($AD$15:OFFSET(AD80,-1,0))+IF($C80&lt;&gt;1,1,MAX(1,COUNTIF(QCI!$A$13:$A$24,OFFSET($E80,-1,0)))),"")</f>
        <v>18</v>
      </c>
      <c r="AE80" s="7" t="b">
        <f ca="1">IF(AND($C80="S",ORÇAMENTO.CodBarra&lt;&gt;""),IF(ORÇAMENTO.Fonte="",ORÇAMENTO.CodBarra,CONCATENATE(ORÇAMENTO.Fonte," ",ORÇAMENTO.CodBarra)))</f>
        <v>0</v>
      </c>
      <c r="AF80" s="13" t="str">
        <f ca="1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(Sem Código)</v>
      </c>
      <c r="AG80" s="498">
        <f ca="1">ROUND(IF(DESONERACAO="sim",REFERENCIA.Desonerado,REFERENCIA.NaoDesonerado),2)</f>
        <v>0</v>
      </c>
      <c r="AH80" s="499">
        <f ca="1">ROUND(IF(ISNUMBER(ORÇAMENTO.OpcaoBDI),ORÇAMENTO.OpcaoBDI,IF(LEFT(ORÇAMENTO.OpcaoBDI,3)="BDI",HLOOKUP(ORÇAMENTO.OpcaoBDI,$F$4:$H$5,2,FALSE),0)),15-11*$AF$9)</f>
        <v>0.20349999999999999</v>
      </c>
      <c r="AJ80" s="501"/>
      <c r="AL80" s="527"/>
      <c r="AM80" s="381">
        <f t="shared" ca="1" si="0"/>
        <v>28243.64</v>
      </c>
      <c r="AN80" s="566">
        <f ca="1">ROUND(ORÇAMENTO.CustoUnitario*(1+$AH80),2)</f>
        <v>0</v>
      </c>
    </row>
    <row r="81" spans="1:40" x14ac:dyDescent="0.2">
      <c r="A81">
        <f t="shared" si="71"/>
        <v>2</v>
      </c>
      <c r="B81">
        <f t="shared" ref="B81:B83" ca="1" si="86">IF(OR(C81="s",C81=0),OFFSET(B81,-1,0),C81)</f>
        <v>2</v>
      </c>
      <c r="C81">
        <f t="shared" ref="C81:C83" ca="1" si="87">IF(OFFSET(C81,-1,0)="L",1,IF(OFFSET(C81,-1,0)=1,2,IF(OR(A81="s",A81=0),"S",IF(AND(OFFSET(C81,-1,0)=2,A81=4),3,IF(AND(OR(OFFSET(C81,-1,0)="s",OFFSET(C81,-1,0)=0),A81&lt;&gt;"s",A81&gt;OFFSET(B81,-1,0)),OFFSET(B81,-1,0),A81)))))</f>
        <v>2</v>
      </c>
      <c r="D81">
        <f t="shared" ref="D81:D83" ca="1" si="88">IF(OR(C81="S",C81=0),0,IF(ISERROR(K81),J81,SMALL(J81:K81,1)))</f>
        <v>3</v>
      </c>
      <c r="E81">
        <f ca="1">IF($C81=1,OFFSET(E81,-1,0)+MAX(1,COUNTIF(QCI!$A$13:$A$24,OFFSET(ORÇAMENTO!E81,-1,0))),OFFSET(E81,-1,0))</f>
        <v>6</v>
      </c>
      <c r="F81">
        <f t="shared" ref="F81:F83" ca="1" si="89">IF($C81=1,0,IF($C81=2,OFFSET(F81,-1,0)+1,OFFSET(F81,-1,0)))</f>
        <v>1</v>
      </c>
      <c r="G81">
        <f t="shared" ref="G81:G83" ca="1" si="90">IF(AND($C81&lt;=2,$C81&lt;&gt;0),0,IF($C81=3,OFFSET(G81,-1,0)+1,OFFSET(G81,-1,0)))</f>
        <v>0</v>
      </c>
      <c r="H81">
        <f t="shared" ref="H81:H83" ca="1" si="91">IF(AND($C81&lt;=3,$C81&lt;&gt;0),0,IF($C81=4,OFFSET(H81,-1,0)+1,OFFSET(H81,-1,0)))</f>
        <v>0</v>
      </c>
      <c r="I81">
        <f t="shared" ref="I81:I83" ca="1" si="92">IF(AND($C81&lt;=4,$C81&lt;&gt;0),0,IF(AND($C81="S",$X81&gt;0),OFFSET(I81,-1,0)+1,OFFSET(I81,-1,0)))</f>
        <v>0</v>
      </c>
      <c r="J81">
        <f ca="1">IF(OR($C81="S",$C81=0),0,MATCH(0,OFFSET($D81,1,$C81,ROW($C$165)-ROW($C81)),0))</f>
        <v>35</v>
      </c>
      <c r="K81">
        <f ca="1">IF(OR($C81="S",$C81=0),0,MATCH(OFFSET($D81,0,$C81)+IF($C81&lt;&gt;1,1,COUNTIF(QCI!$A$13:$A$24,ORÇAMENTO!E81)),OFFSET($D81,1,$C81,ROW($C$165)-ROW($C81)),0))</f>
        <v>3</v>
      </c>
      <c r="L81" s="116" t="str">
        <f t="shared" ref="L81:L83" ca="1" si="93">IF(OR($X81&gt;0,$C81=1,$C81=2,$C81=3,$C81=4),"F","")</f>
        <v>F</v>
      </c>
      <c r="M81" s="117" t="s">
        <v>196</v>
      </c>
      <c r="N81" s="118" t="str">
        <f t="shared" ref="N81:N83" ca="1" si="94">CHOOSE(1+LOG(1+2*(C81=1)+4*(C81=2)+8*(C81=3)+16*(C81=4)+32*(C81="S"),2),"","Meta","Nível 2","Nível 3","Nível 4","Serviço")</f>
        <v>Nível 2</v>
      </c>
      <c r="O81" s="119" t="str">
        <f t="shared" ref="O81:O83" ca="1" si="95">IF(OR($C81=0,$L81=""),"-",CONCATENATE(E81&amp;".",IF(AND($A$5&gt;=2,$C81&gt;=2),F81&amp;".",""),IF(AND($A$5&gt;=3,$C81&gt;=3),G81&amp;".",""),IF(AND($A$5&gt;=4,$C81&gt;=4),H81&amp;".",""),IF($C81="S",I81&amp;".","")))</f>
        <v>6.1.</v>
      </c>
      <c r="P81" s="120" t="s">
        <v>247</v>
      </c>
      <c r="Q81" s="121"/>
      <c r="R81" s="122" t="s">
        <v>546</v>
      </c>
      <c r="S81" s="123" t="str">
        <f ca="1">REFERENCIA.Unidade</f>
        <v>-</v>
      </c>
      <c r="T81" s="124">
        <f ca="1">OFFSET(CÁLCULO!H$15,ROW($T81)-ROW(T$15),0)</f>
        <v>0</v>
      </c>
      <c r="U81" s="125">
        <f t="shared" ca="1" si="32"/>
        <v>0</v>
      </c>
      <c r="V81" s="126" t="s">
        <v>156</v>
      </c>
      <c r="W81" s="124">
        <f ca="1">IF($C81="S",ROUND(IF(TIPOORCAMENTO="Proposto",ORÇAMENTO.CustoUnitario*(1+$AH81),ORÇAMENTO.PrecoUnitarioLicitado),15-13*$AF$10),0)</f>
        <v>0</v>
      </c>
      <c r="X81" s="127">
        <f ca="1">IF($C81="S",IF(Import.TipoArredondamento&lt;&gt;"TransfereGOV",VTOTAL1,SUM(OFFSET(CÁLCULO!$AA$15,ROW($X81)-ROW($X$15),1):OFFSET(CÁLCULO!$AL$15,ROW($X81)-ROW($X$15),-1))),IF($C81=0,0,ROUND(SomaAgrup,15-13*$AF$11)))</f>
        <v>4252.87</v>
      </c>
      <c r="Y81" s="128" t="s">
        <v>245</v>
      </c>
      <c r="Z81" t="str">
        <f t="shared" ref="Z81:Z83" ca="1" si="96">IF(AND($C81="S",$X81&gt;0),IF(ISBLANK($Y81),"RA",LEFT($Y81,2)),"")</f>
        <v/>
      </c>
      <c r="AA81" s="129">
        <f ca="1">IF($C81="S",IF($Z81="CP",$X81,IF($Z81="RA",(($X81)*QCI!$AA$3),0)),SomaAgrup)</f>
        <v>4252.87</v>
      </c>
      <c r="AB81" s="130">
        <f t="shared" ca="1" si="72"/>
        <v>0</v>
      </c>
      <c r="AC81" s="131" t="str">
        <f ca="1">IF($N81="","",IF(ORÇAMENTO.Descricao="","DESCRIÇÃO",IF(AND($C81="S",ORÇAMENTO.Unidade=""),"UNIDADE",IF($X81&lt;0,"VALOR NEGATIVO",IF(OR(AND(TIPOORCAMENTO="Proposto",$AG81&lt;&gt;"",$AG81&gt;0,ORÇAMENTO.CustoUnitario&gt;$AG81),AND(TIPOORCAMENTO="LICITADO",ORÇAMENTO.PrecoUnitarioLicitado&gt;$AN81)),"ACIMA REF.","")))))</f>
        <v/>
      </c>
      <c r="AD81">
        <f ca="1">IF(C81&lt;=CRONO.NivelExibicao,MAX($AD$15:OFFSET(AD81,-1,0))+IF($C81&lt;&gt;1,1,MAX(1,COUNTIF(QCI!$A$13:$A$24,OFFSET($E81,-1,0)))),"")</f>
        <v>19</v>
      </c>
      <c r="AE81" s="7" t="b">
        <f ca="1">IF(AND($C81="S",ORÇAMENTO.CodBarra&lt;&gt;""),IF(ORÇAMENTO.Fonte="",ORÇAMENTO.CodBarra,CONCATENATE(ORÇAMENTO.Fonte," ",ORÇAMENTO.CodBarra)))</f>
        <v>0</v>
      </c>
      <c r="AF81" s="13" t="str">
        <f ca="1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(Sem Código)</v>
      </c>
      <c r="AG81" s="498">
        <f ca="1">ROUND(IF(DESONERACAO="sim",REFERENCIA.Desonerado,REFERENCIA.NaoDesonerado),2)</f>
        <v>0</v>
      </c>
      <c r="AH81" s="499">
        <f t="shared" ca="1" si="73"/>
        <v>0.20349999999999999</v>
      </c>
      <c r="AJ81" s="501"/>
      <c r="AL81" s="527"/>
      <c r="AM81" s="381">
        <f t="shared" ca="1" si="0"/>
        <v>4252.87</v>
      </c>
      <c r="AN81" s="566">
        <f t="shared" ca="1" si="74"/>
        <v>0</v>
      </c>
    </row>
    <row r="82" spans="1:40" ht="38.25" x14ac:dyDescent="0.2">
      <c r="A82" t="str">
        <f t="shared" si="71"/>
        <v>S</v>
      </c>
      <c r="B82">
        <f t="shared" ca="1" si="86"/>
        <v>2</v>
      </c>
      <c r="C82" t="str">
        <f t="shared" ca="1" si="87"/>
        <v>S</v>
      </c>
      <c r="D82">
        <f t="shared" ca="1" si="88"/>
        <v>0</v>
      </c>
      <c r="E82">
        <f ca="1">IF($C82=1,OFFSET(E82,-1,0)+MAX(1,COUNTIF(QCI!$A$13:$A$24,OFFSET(ORÇAMENTO!E82,-1,0))),OFFSET(E82,-1,0))</f>
        <v>6</v>
      </c>
      <c r="F82">
        <f t="shared" ca="1" si="89"/>
        <v>1</v>
      </c>
      <c r="G82">
        <f t="shared" ca="1" si="90"/>
        <v>0</v>
      </c>
      <c r="H82">
        <f t="shared" ca="1" si="91"/>
        <v>0</v>
      </c>
      <c r="I82">
        <f t="shared" ca="1" si="92"/>
        <v>1</v>
      </c>
      <c r="J82">
        <f ca="1">IF(OR($C82="S",$C82=0),0,MATCH(0,OFFSET($D82,1,$C82,ROW($C$165)-ROW($C82)),0))</f>
        <v>0</v>
      </c>
      <c r="K82">
        <f ca="1">IF(OR($C82="S",$C82=0),0,MATCH(OFFSET($D82,0,$C82)+IF($C82&lt;&gt;1,1,COUNTIF(QCI!$A$13:$A$24,ORÇAMENTO!E82)),OFFSET($D82,1,$C82,ROW($C$165)-ROW($C82)),0))</f>
        <v>0</v>
      </c>
      <c r="L82" s="116" t="str">
        <f t="shared" ca="1" si="93"/>
        <v>F</v>
      </c>
      <c r="M82" s="117" t="s">
        <v>199</v>
      </c>
      <c r="N82" s="118" t="str">
        <f t="shared" ca="1" si="94"/>
        <v>Serviço</v>
      </c>
      <c r="O82" s="119" t="str">
        <f t="shared" ca="1" si="95"/>
        <v>6.1.1.</v>
      </c>
      <c r="P82" s="120" t="s">
        <v>247</v>
      </c>
      <c r="Q82" s="121" t="s">
        <v>547</v>
      </c>
      <c r="R82" s="122" t="str">
        <f ca="1">IF($C82="S",REFERENCIA.Descricao,"(digite a descrição aqui)")</f>
        <v>ENTRADA DE ENERGIA ELÉTRICA, AÉREA, BIFÁSICA, COM CAIXA DE EMBUTIR, CABO DE 10 MM2 E DISJUNTOR DIN 50A (NÃO INCLUSO O POSTE DE CONCRETO). AF_12/2025</v>
      </c>
      <c r="S82" s="123" t="str">
        <f ca="1">REFERENCIA.Unidade</f>
        <v>UN</v>
      </c>
      <c r="T82" s="124">
        <f ca="1">OFFSET(CÁLCULO!H$15,ROW($T82)-ROW(T$15),0)</f>
        <v>1</v>
      </c>
      <c r="U82" s="125">
        <f t="shared" ca="1" si="32"/>
        <v>2261.42</v>
      </c>
      <c r="V82" s="126" t="s">
        <v>156</v>
      </c>
      <c r="W82" s="124">
        <f ca="1">IF($C82="S",ROUND(IF(TIPOORCAMENTO="Proposto",ORÇAMENTO.CustoUnitario*(1+$AH82),ORÇAMENTO.PrecoUnitarioLicitado),15-13*$AF$10),0)</f>
        <v>2721.62</v>
      </c>
      <c r="X82" s="127">
        <f ca="1">IF($C82="S",IF(Import.TipoArredondamento&lt;&gt;"TransfereGOV",VTOTAL1,SUM(OFFSET(CÁLCULO!$AA$15,ROW($X82)-ROW($X$15),1):OFFSET(CÁLCULO!$AL$15,ROW($X82)-ROW($X$15),-1))),IF($C82=0,0,ROUND(SomaAgrup,15-13*$AF$11)))</f>
        <v>2721.62</v>
      </c>
      <c r="Y82" s="128" t="s">
        <v>245</v>
      </c>
      <c r="Z82" t="str">
        <f t="shared" ca="1" si="96"/>
        <v>RA</v>
      </c>
      <c r="AA82" s="129">
        <f ca="1">IF($C82="S",IF($Z82="CP",$X82,IF($Z82="RA",(($X82)*QCI!$AA$3),0)),SomaAgrup)</f>
        <v>2721.62</v>
      </c>
      <c r="AB82" s="130">
        <f t="shared" ca="1" si="72"/>
        <v>0</v>
      </c>
      <c r="AC82" s="131" t="str">
        <f ca="1">IF($N82="","",IF(ORÇAMENTO.Descricao="","DESCRIÇÃO",IF(AND($C82="S",ORÇAMENTO.Unidade=""),"UNIDADE",IF($X82&lt;0,"VALOR NEGATIVO",IF(OR(AND(TIPOORCAMENTO="Proposto",$AG82&lt;&gt;"",$AG82&gt;0,ORÇAMENTO.CustoUnitario&gt;$AG82),AND(TIPOORCAMENTO="LICITADO",ORÇAMENTO.PrecoUnitarioLicitado&gt;$AN82)),"ACIMA REF.","")))))</f>
        <v/>
      </c>
      <c r="AD82" t="str">
        <f ca="1">IF(C82&lt;=CRONO.NivelExibicao,MAX($AD$15:OFFSET(AD82,-1,0))+IF($C82&lt;&gt;1,1,MAX(1,COUNTIF(QCI!$A$13:$A$24,OFFSET($E82,-1,0)))),"")</f>
        <v/>
      </c>
      <c r="AE82" s="7" t="str">
        <f ca="1">IF(AND($C82="S",ORÇAMENTO.CodBarra&lt;&gt;""),IF(ORÇAMENTO.Fonte="",ORÇAMENTO.CodBarra,CONCATENATE(ORÇAMENTO.Fonte," ",ORÇAMENTO.CodBarra)))</f>
        <v>SINAPI 101501</v>
      </c>
      <c r="AF82" s="13">
        <f ca="1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11267</v>
      </c>
      <c r="AG82" s="498">
        <f ca="1">ROUND(IF(DESONERACAO="sim",REFERENCIA.Desonerado,REFERENCIA.NaoDesonerado),2)</f>
        <v>2261.42</v>
      </c>
      <c r="AH82" s="499">
        <f t="shared" ca="1" si="73"/>
        <v>0.20349999999999999</v>
      </c>
      <c r="AJ82" s="501">
        <v>1</v>
      </c>
      <c r="AL82" s="527"/>
      <c r="AM82" s="381">
        <f t="shared" ca="1" si="0"/>
        <v>2721.62</v>
      </c>
      <c r="AN82" s="566">
        <f t="shared" ca="1" si="74"/>
        <v>2721.62</v>
      </c>
    </row>
    <row r="83" spans="1:40" x14ac:dyDescent="0.2">
      <c r="A83" t="str">
        <f t="shared" si="71"/>
        <v>S</v>
      </c>
      <c r="B83">
        <f t="shared" ca="1" si="86"/>
        <v>2</v>
      </c>
      <c r="C83" t="str">
        <f t="shared" ca="1" si="87"/>
        <v>S</v>
      </c>
      <c r="D83">
        <f t="shared" ca="1" si="88"/>
        <v>0</v>
      </c>
      <c r="E83">
        <f ca="1">IF($C83=1,OFFSET(E83,-1,0)+MAX(1,COUNTIF(QCI!$A$13:$A$24,OFFSET(ORÇAMENTO!E83,-1,0))),OFFSET(E83,-1,0))</f>
        <v>6</v>
      </c>
      <c r="F83">
        <f t="shared" ca="1" si="89"/>
        <v>1</v>
      </c>
      <c r="G83">
        <f t="shared" ca="1" si="90"/>
        <v>0</v>
      </c>
      <c r="H83">
        <f t="shared" ca="1" si="91"/>
        <v>0</v>
      </c>
      <c r="I83">
        <f t="shared" ca="1" si="92"/>
        <v>2</v>
      </c>
      <c r="J83">
        <f ca="1">IF(OR($C83="S",$C83=0),0,MATCH(0,OFFSET($D83,1,$C83,ROW($C$165)-ROW($C83)),0))</f>
        <v>0</v>
      </c>
      <c r="K83">
        <f ca="1">IF(OR($C83="S",$C83=0),0,MATCH(OFFSET($D83,0,$C83)+IF($C83&lt;&gt;1,1,COUNTIF(QCI!$A$13:$A$24,ORÇAMENTO!E83)),OFFSET($D83,1,$C83,ROW($C$165)-ROW($C83)),0))</f>
        <v>0</v>
      </c>
      <c r="L83" s="116" t="str">
        <f t="shared" ca="1" si="93"/>
        <v>F</v>
      </c>
      <c r="M83" s="117" t="s">
        <v>199</v>
      </c>
      <c r="N83" s="118" t="str">
        <f t="shared" ca="1" si="94"/>
        <v>Serviço</v>
      </c>
      <c r="O83" s="119" t="str">
        <f t="shared" ca="1" si="95"/>
        <v>6.1.2.</v>
      </c>
      <c r="P83" s="120" t="s">
        <v>491</v>
      </c>
      <c r="Q83" s="121" t="s">
        <v>548</v>
      </c>
      <c r="R83" s="122" t="str">
        <f ca="1">IF($C83="S",REFERENCIA.Descricao,"(digite a descrição aqui)")</f>
        <v>POSTE DE CONCRETO PADRÃO CELESC</v>
      </c>
      <c r="S83" s="123" t="str">
        <f ca="1">REFERENCIA.Unidade</f>
        <v>UN</v>
      </c>
      <c r="T83" s="124">
        <f ca="1">OFFSET(CÁLCULO!H$15,ROW($T83)-ROW(T$15),0)</f>
        <v>1</v>
      </c>
      <c r="U83" s="125">
        <f t="shared" ca="1" si="32"/>
        <v>1272.33</v>
      </c>
      <c r="V83" s="126" t="s">
        <v>156</v>
      </c>
      <c r="W83" s="124">
        <f ca="1">IF($C83="S",ROUND(IF(TIPOORCAMENTO="Proposto",ORÇAMENTO.CustoUnitario*(1+$AH83),ORÇAMENTO.PrecoUnitarioLicitado),15-13*$AF$10),0)</f>
        <v>1531.25</v>
      </c>
      <c r="X83" s="127">
        <f ca="1">IF($C83="S",IF(Import.TipoArredondamento&lt;&gt;"TransfereGOV",VTOTAL1,SUM(OFFSET(CÁLCULO!$AA$15,ROW($X83)-ROW($X$15),1):OFFSET(CÁLCULO!$AL$15,ROW($X83)-ROW($X$15),-1))),IF($C83=0,0,ROUND(SomaAgrup,15-13*$AF$11)))</f>
        <v>1531.25</v>
      </c>
      <c r="Y83" s="128" t="s">
        <v>245</v>
      </c>
      <c r="Z83" t="str">
        <f t="shared" ca="1" si="96"/>
        <v>RA</v>
      </c>
      <c r="AA83" s="129">
        <f ca="1">IF($C83="S",IF($Z83="CP",$X83,IF($Z83="RA",(($X83)*QCI!$AA$3),0)),SomaAgrup)</f>
        <v>1531.25</v>
      </c>
      <c r="AB83" s="130">
        <f t="shared" ca="1" si="72"/>
        <v>0</v>
      </c>
      <c r="AC83" s="131" t="str">
        <f ca="1">IF($N83="","",IF(ORÇAMENTO.Descricao="","DESCRIÇÃO",IF(AND($C83="S",ORÇAMENTO.Unidade=""),"UNIDADE",IF($X83&lt;0,"VALOR NEGATIVO",IF(OR(AND(TIPOORCAMENTO="Proposto",$AG83&lt;&gt;"",$AG83&gt;0,ORÇAMENTO.CustoUnitario&gt;$AG83),AND(TIPOORCAMENTO="LICITADO",ORÇAMENTO.PrecoUnitarioLicitado&gt;$AN83)),"ACIMA REF.","")))))</f>
        <v/>
      </c>
      <c r="AD83" t="str">
        <f ca="1">IF(C83&lt;=CRONO.NivelExibicao,MAX($AD$15:OFFSET(AD83,-1,0))+IF($C83&lt;&gt;1,1,MAX(1,COUNTIF(QCI!$A$13:$A$24,OFFSET($E83,-1,0)))),"")</f>
        <v/>
      </c>
      <c r="AE83" s="7" t="str">
        <f ca="1">IF(AND($C83="S",ORÇAMENTO.CodBarra&lt;&gt;""),IF(ORÇAMENTO.Fonte="",ORÇAMENTO.CodBarra,CONCATENATE(ORÇAMENTO.Fonte," ",ORÇAMENTO.CodBarra)))</f>
        <v>Composição 07</v>
      </c>
      <c r="AF83" s="13">
        <f ca="1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9</v>
      </c>
      <c r="AG83" s="498">
        <f ca="1">ROUND(IF(DESONERACAO="sim",REFERENCIA.Desonerado,REFERENCIA.NaoDesonerado),2)</f>
        <v>1272.33</v>
      </c>
      <c r="AH83" s="499">
        <f t="shared" ca="1" si="73"/>
        <v>0.20349999999999999</v>
      </c>
      <c r="AJ83" s="501">
        <v>1</v>
      </c>
      <c r="AL83" s="527"/>
      <c r="AM83" s="381">
        <f t="shared" ca="1" si="0"/>
        <v>1531.25</v>
      </c>
      <c r="AN83" s="566">
        <f t="shared" ca="1" si="74"/>
        <v>1531.25</v>
      </c>
    </row>
    <row r="84" spans="1:40" x14ac:dyDescent="0.2">
      <c r="A84">
        <f t="shared" si="1"/>
        <v>2</v>
      </c>
      <c r="B84">
        <f t="shared" ca="1" si="2"/>
        <v>2</v>
      </c>
      <c r="C84">
        <f t="shared" ca="1" si="3"/>
        <v>2</v>
      </c>
      <c r="D84">
        <f t="shared" ca="1" si="4"/>
        <v>14</v>
      </c>
      <c r="E84">
        <f ca="1">IF($C84=1,OFFSET(E84,-1,0)+MAX(1,COUNTIF(QCI!$A$13:$A$24,OFFSET(ORÇAMENTO!E84,-1,0))),OFFSET(E84,-1,0))</f>
        <v>6</v>
      </c>
      <c r="F84">
        <f t="shared" ca="1" si="5"/>
        <v>2</v>
      </c>
      <c r="G84">
        <f t="shared" ca="1" si="6"/>
        <v>0</v>
      </c>
      <c r="H84">
        <f t="shared" ca="1" si="7"/>
        <v>0</v>
      </c>
      <c r="I84">
        <f t="shared" ca="1" si="8"/>
        <v>0</v>
      </c>
      <c r="J84">
        <f ca="1">IF(OR($C84="S",$C84=0),0,MATCH(0,OFFSET($D84,1,$C84,ROW($C$165)-ROW($C84)),0))</f>
        <v>32</v>
      </c>
      <c r="K84">
        <f ca="1">IF(OR($C84="S",$C84=0),0,MATCH(OFFSET($D84,0,$C84)+IF($C84&lt;&gt;1,1,COUNTIF(QCI!$A$13:$A$24,ORÇAMENTO!E84)),OFFSET($D84,1,$C84,ROW($C$165)-ROW($C84)),0))</f>
        <v>14</v>
      </c>
      <c r="L84" s="116" t="str">
        <f t="shared" ca="1" si="9"/>
        <v>F</v>
      </c>
      <c r="M84" s="117" t="s">
        <v>196</v>
      </c>
      <c r="N84" s="118" t="str">
        <f t="shared" ca="1" si="10"/>
        <v>Nível 2</v>
      </c>
      <c r="O84" s="119" t="str">
        <f t="shared" ca="1" si="11"/>
        <v>6.2.</v>
      </c>
      <c r="P84" s="120" t="s">
        <v>247</v>
      </c>
      <c r="Q84" s="121"/>
      <c r="R84" s="122" t="s">
        <v>537</v>
      </c>
      <c r="S84" s="123" t="str">
        <f ca="1">REFERENCIA.Unidade</f>
        <v>-</v>
      </c>
      <c r="T84" s="124">
        <f ca="1">OFFSET(CÁLCULO!H$15,ROW($T84)-ROW(T$15),0)</f>
        <v>0</v>
      </c>
      <c r="U84" s="125">
        <f t="shared" ca="1" si="32"/>
        <v>0</v>
      </c>
      <c r="V84" s="126" t="s">
        <v>156</v>
      </c>
      <c r="W84" s="124">
        <f ca="1">IF($C84="S",ROUND(IF(TIPOORCAMENTO="Proposto",ORÇAMENTO.CustoUnitario*(1+$AH84),ORÇAMENTO.PrecoUnitarioLicitado),15-13*$AF$10),0)</f>
        <v>0</v>
      </c>
      <c r="X84" s="127">
        <f ca="1">IF($C84="S",IF(Import.TipoArredondamento&lt;&gt;"TransfereGOV",VTOTAL1,SUM(OFFSET(CÁLCULO!$AA$15,ROW($X84)-ROW($X$15),1):OFFSET(CÁLCULO!$AL$15,ROW($X84)-ROW($X$15),-1))),IF($C84=0,0,ROUND(SomaAgrup,15-13*$AF$11)))</f>
        <v>7512.4</v>
      </c>
      <c r="Y84" s="128" t="s">
        <v>245</v>
      </c>
      <c r="Z84" t="str">
        <f t="shared" ca="1" si="12"/>
        <v/>
      </c>
      <c r="AA84" s="129">
        <f ca="1">IF($C84="S",IF($Z84="CP",$X84,IF($Z84="RA",(($X84)*QCI!$AA$3),0)),SomaAgrup)</f>
        <v>7512.4</v>
      </c>
      <c r="AB84" s="130">
        <f t="shared" ca="1" si="13"/>
        <v>0</v>
      </c>
      <c r="AC84" s="131" t="str">
        <f ca="1">IF($N84="","",IF(ORÇAMENTO.Descricao="","DESCRIÇÃO",IF(AND($C84="S",ORÇAMENTO.Unidade=""),"UNIDADE",IF($X84&lt;0,"VALOR NEGATIVO",IF(OR(AND(TIPOORCAMENTO="Proposto",$AG84&lt;&gt;"",$AG84&gt;0,ORÇAMENTO.CustoUnitario&gt;$AG84),AND(TIPOORCAMENTO="LICITADO",ORÇAMENTO.PrecoUnitarioLicitado&gt;$AN84)),"ACIMA REF.","")))))</f>
        <v/>
      </c>
      <c r="AD84">
        <f ca="1">IF(C84&lt;=CRONO.NivelExibicao,MAX($AD$15:OFFSET(AD84,-1,0))+IF($C84&lt;&gt;1,1,MAX(1,COUNTIF(QCI!$A$13:$A$24,OFFSET($E84,-1,0)))),"")</f>
        <v>20</v>
      </c>
      <c r="AE84" s="7" t="b">
        <f ca="1">IF(AND($C84="S",ORÇAMENTO.CodBarra&lt;&gt;""),IF(ORÇAMENTO.Fonte="",ORÇAMENTO.CodBarra,CONCATENATE(ORÇAMENTO.Fonte," ",ORÇAMENTO.CodBarra)))</f>
        <v>0</v>
      </c>
      <c r="AF84" s="13" t="str">
        <f ca="1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(Sem Código)</v>
      </c>
      <c r="AG84" s="498">
        <f ca="1">ROUND(IF(DESONERACAO="sim",REFERENCIA.Desonerado,REFERENCIA.NaoDesonerado),2)</f>
        <v>0</v>
      </c>
      <c r="AH84" s="499">
        <f t="shared" ca="1" si="14"/>
        <v>0.20349999999999999</v>
      </c>
      <c r="AJ84" s="501"/>
      <c r="AL84" s="527"/>
      <c r="AM84" s="381">
        <f t="shared" ca="1" si="0"/>
        <v>7512.4</v>
      </c>
      <c r="AN84" s="566">
        <f t="shared" ca="1" si="15"/>
        <v>0</v>
      </c>
    </row>
    <row r="85" spans="1:40" ht="38.25" x14ac:dyDescent="0.2">
      <c r="A85" t="str">
        <f t="shared" si="1"/>
        <v>S</v>
      </c>
      <c r="B85">
        <f t="shared" ca="1" si="2"/>
        <v>2</v>
      </c>
      <c r="C85" t="str">
        <f t="shared" ca="1" si="3"/>
        <v>S</v>
      </c>
      <c r="D85">
        <f t="shared" ca="1" si="4"/>
        <v>0</v>
      </c>
      <c r="E85">
        <f ca="1">IF($C85=1,OFFSET(E85,-1,0)+MAX(1,COUNTIF(QCI!$A$13:$A$24,OFFSET(ORÇAMENTO!E85,-1,0))),OFFSET(E85,-1,0))</f>
        <v>6</v>
      </c>
      <c r="F85">
        <f t="shared" ca="1" si="5"/>
        <v>2</v>
      </c>
      <c r="G85">
        <f t="shared" ca="1" si="6"/>
        <v>0</v>
      </c>
      <c r="H85">
        <f t="shared" ca="1" si="7"/>
        <v>0</v>
      </c>
      <c r="I85">
        <f t="shared" ca="1" si="8"/>
        <v>1</v>
      </c>
      <c r="J85">
        <f ca="1">IF(OR($C85="S",$C85=0),0,MATCH(0,OFFSET($D85,1,$C85,ROW($C$165)-ROW($C85)),0))</f>
        <v>0</v>
      </c>
      <c r="K85">
        <f ca="1">IF(OR($C85="S",$C85=0),0,MATCH(OFFSET($D85,0,$C85)+IF($C85&lt;&gt;1,1,COUNTIF(QCI!$A$13:$A$24,ORÇAMENTO!E85)),OFFSET($D85,1,$C85,ROW($C$165)-ROW($C85)),0))</f>
        <v>0</v>
      </c>
      <c r="L85" s="116" t="str">
        <f t="shared" ca="1" si="9"/>
        <v>F</v>
      </c>
      <c r="M85" s="117" t="s">
        <v>199</v>
      </c>
      <c r="N85" s="118" t="str">
        <f t="shared" ca="1" si="10"/>
        <v>Serviço</v>
      </c>
      <c r="O85" s="119" t="str">
        <f t="shared" ca="1" si="11"/>
        <v>6.2.1.</v>
      </c>
      <c r="P85" s="120" t="s">
        <v>247</v>
      </c>
      <c r="Q85" s="121" t="s">
        <v>451</v>
      </c>
      <c r="R85" s="122" t="str">
        <f ca="1">IF($C85="S",REFERENCIA.Descricao,"(digite a descrição aqui)")</f>
        <v>ELETRODUTO FLEXÍVEL CORRUGADO, PVC, DN 20 MM (1/2"), PARA CIRCUITOS TERMINAIS, INSTALADO EM PAREDE - FORNECIMENTO E INSTALAÇÃO. AF_03/2023</v>
      </c>
      <c r="S85" s="123" t="str">
        <f ca="1">REFERENCIA.Unidade</f>
        <v>M</v>
      </c>
      <c r="T85" s="124">
        <f ca="1">OFFSET(CÁLCULO!H$15,ROW($T85)-ROW(T$15),0)</f>
        <v>60</v>
      </c>
      <c r="U85" s="125">
        <f t="shared" ca="1" si="32"/>
        <v>11.94</v>
      </c>
      <c r="V85" s="126" t="s">
        <v>156</v>
      </c>
      <c r="W85" s="124">
        <f ca="1">IF($C85="S",ROUND(IF(TIPOORCAMENTO="Proposto",ORÇAMENTO.CustoUnitario*(1+$AH85),ORÇAMENTO.PrecoUnitarioLicitado),15-13*$AF$10),0)</f>
        <v>14.37</v>
      </c>
      <c r="X85" s="127">
        <f ca="1">IF($C85="S",IF(Import.TipoArredondamento&lt;&gt;"TransfereGOV",VTOTAL1,SUM(OFFSET(CÁLCULO!$AA$15,ROW($X85)-ROW($X$15),1):OFFSET(CÁLCULO!$AL$15,ROW($X85)-ROW($X$15),-1))),IF($C85=0,0,ROUND(SomaAgrup,15-13*$AF$11)))</f>
        <v>862.2</v>
      </c>
      <c r="Y85" s="128" t="s">
        <v>245</v>
      </c>
      <c r="Z85" t="str">
        <f t="shared" ca="1" si="12"/>
        <v>RA</v>
      </c>
      <c r="AA85" s="129">
        <f ca="1">IF($C85="S",IF($Z85="CP",$X85,IF($Z85="RA",(($X85)*QCI!$AA$3),0)),SomaAgrup)</f>
        <v>862.2</v>
      </c>
      <c r="AB85" s="130">
        <f t="shared" ca="1" si="13"/>
        <v>0</v>
      </c>
      <c r="AC85" s="131" t="str">
        <f ca="1">IF($N85="","",IF(ORÇAMENTO.Descricao="","DESCRIÇÃO",IF(AND($C85="S",ORÇAMENTO.Unidade=""),"UNIDADE",IF($X85&lt;0,"VALOR NEGATIVO",IF(OR(AND(TIPOORCAMENTO="Proposto",$AG85&lt;&gt;"",$AG85&gt;0,ORÇAMENTO.CustoUnitario&gt;$AG85),AND(TIPOORCAMENTO="LICITADO",ORÇAMENTO.PrecoUnitarioLicitado&gt;$AN85)),"ACIMA REF.","")))))</f>
        <v/>
      </c>
      <c r="AD85" t="str">
        <f ca="1">IF(C85&lt;=CRONO.NivelExibicao,MAX($AD$15:OFFSET(AD85,-1,0))+IF($C85&lt;&gt;1,1,MAX(1,COUNTIF(QCI!$A$13:$A$24,OFFSET($E85,-1,0)))),"")</f>
        <v/>
      </c>
      <c r="AE85" s="7" t="str">
        <f ca="1">IF(AND($C85="S",ORÇAMENTO.CodBarra&lt;&gt;""),IF(ORÇAMENTO.Fonte="",ORÇAMENTO.CodBarra,CONCATENATE(ORÇAMENTO.Fonte," ",ORÇAMENTO.CodBarra)))</f>
        <v>SINAPI 91852</v>
      </c>
      <c r="AF85" s="13">
        <f ca="1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10924</v>
      </c>
      <c r="AG85" s="498">
        <f ca="1">ROUND(IF(DESONERACAO="sim",REFERENCIA.Desonerado,REFERENCIA.NaoDesonerado),2)</f>
        <v>11.94</v>
      </c>
      <c r="AH85" s="499">
        <f t="shared" ca="1" si="14"/>
        <v>0.20349999999999999</v>
      </c>
      <c r="AJ85" s="501">
        <v>60</v>
      </c>
      <c r="AL85" s="527"/>
      <c r="AM85" s="381">
        <f t="shared" ca="1" si="0"/>
        <v>862.2</v>
      </c>
      <c r="AN85" s="566">
        <f t="shared" ca="1" si="15"/>
        <v>14.37</v>
      </c>
    </row>
    <row r="86" spans="1:40" ht="38.25" x14ac:dyDescent="0.2">
      <c r="A86" t="str">
        <f t="shared" si="1"/>
        <v>S</v>
      </c>
      <c r="B86">
        <f t="shared" ca="1" si="2"/>
        <v>2</v>
      </c>
      <c r="C86" t="str">
        <f t="shared" ca="1" si="3"/>
        <v>S</v>
      </c>
      <c r="D86">
        <f t="shared" ca="1" si="4"/>
        <v>0</v>
      </c>
      <c r="E86">
        <f ca="1">IF($C86=1,OFFSET(E86,-1,0)+MAX(1,COUNTIF(QCI!$A$13:$A$24,OFFSET(ORÇAMENTO!E86,-1,0))),OFFSET(E86,-1,0))</f>
        <v>6</v>
      </c>
      <c r="F86">
        <f t="shared" ca="1" si="5"/>
        <v>2</v>
      </c>
      <c r="G86">
        <f t="shared" ca="1" si="6"/>
        <v>0</v>
      </c>
      <c r="H86">
        <f t="shared" ca="1" si="7"/>
        <v>0</v>
      </c>
      <c r="I86">
        <f t="shared" ca="1" si="8"/>
        <v>2</v>
      </c>
      <c r="J86">
        <f ca="1">IF(OR($C86="S",$C86=0),0,MATCH(0,OFFSET($D86,1,$C86,ROW($C$165)-ROW($C86)),0))</f>
        <v>0</v>
      </c>
      <c r="K86">
        <f ca="1">IF(OR($C86="S",$C86=0),0,MATCH(OFFSET($D86,0,$C86)+IF($C86&lt;&gt;1,1,COUNTIF(QCI!$A$13:$A$24,ORÇAMENTO!E86)),OFFSET($D86,1,$C86,ROW($C$165)-ROW($C86)),0))</f>
        <v>0</v>
      </c>
      <c r="L86" s="116" t="str">
        <f t="shared" ca="1" si="9"/>
        <v>F</v>
      </c>
      <c r="M86" s="117" t="s">
        <v>199</v>
      </c>
      <c r="N86" s="118" t="str">
        <f t="shared" ca="1" si="10"/>
        <v>Serviço</v>
      </c>
      <c r="O86" s="119" t="str">
        <f t="shared" ca="1" si="11"/>
        <v>6.2.2.</v>
      </c>
      <c r="P86" s="120" t="s">
        <v>449</v>
      </c>
      <c r="Q86" s="121" t="s">
        <v>494</v>
      </c>
      <c r="R86" s="122" t="str">
        <f ca="1">IF($C86="S",REFERENCIA.Descricao,"(digite a descrição aqui)")</f>
        <v>QUADRO DE DISTRIBUICAO, EM PVC, DE EMBUTIR, COM BARRAMENTO TERRA / NEUTRO, PARA 12 DISJUNTORES NEMA OU 16 DISJUNTORES DIN</v>
      </c>
      <c r="S86" s="123" t="str">
        <f ca="1">REFERENCIA.Unidade</f>
        <v>UN</v>
      </c>
      <c r="T86" s="124">
        <f ca="1">OFFSET(CÁLCULO!H$15,ROW($T86)-ROW(T$15),0)</f>
        <v>1</v>
      </c>
      <c r="U86" s="125">
        <f t="shared" ca="1" si="32"/>
        <v>234.52</v>
      </c>
      <c r="V86" s="126" t="s">
        <v>156</v>
      </c>
      <c r="W86" s="124">
        <f ca="1">IF($C86="S",ROUND(IF(TIPOORCAMENTO="Proposto",ORÇAMENTO.CustoUnitario*(1+$AH86),ORÇAMENTO.PrecoUnitarioLicitado),15-13*$AF$10),0)</f>
        <v>282.24</v>
      </c>
      <c r="X86" s="127">
        <f ca="1">IF($C86="S",IF(Import.TipoArredondamento&lt;&gt;"TransfereGOV",VTOTAL1,SUM(OFFSET(CÁLCULO!$AA$15,ROW($X86)-ROW($X$15),1):OFFSET(CÁLCULO!$AL$15,ROW($X86)-ROW($X$15),-1))),IF($C86=0,0,ROUND(SomaAgrup,15-13*$AF$11)))</f>
        <v>282.24</v>
      </c>
      <c r="Y86" s="128" t="s">
        <v>245</v>
      </c>
      <c r="Z86" t="str">
        <f t="shared" ca="1" si="12"/>
        <v>RA</v>
      </c>
      <c r="AA86" s="129">
        <f ca="1">IF($C86="S",IF($Z86="CP",$X86,IF($Z86="RA",(($X86)*QCI!$AA$3),0)),SomaAgrup)</f>
        <v>282.24</v>
      </c>
      <c r="AB86" s="130">
        <f t="shared" ca="1" si="13"/>
        <v>0</v>
      </c>
      <c r="AC86" s="131" t="str">
        <f ca="1">IF($N86="","",IF(ORÇAMENTO.Descricao="","DESCRIÇÃO",IF(AND($C86="S",ORÇAMENTO.Unidade=""),"UNIDADE",IF($X86&lt;0,"VALOR NEGATIVO",IF(OR(AND(TIPOORCAMENTO="Proposto",$AG86&lt;&gt;"",$AG86&gt;0,ORÇAMENTO.CustoUnitario&gt;$AG86),AND(TIPOORCAMENTO="LICITADO",ORÇAMENTO.PrecoUnitarioLicitado&gt;$AN86)),"ACIMA REF.","")))))</f>
        <v/>
      </c>
      <c r="AD86" t="str">
        <f ca="1">IF(C86&lt;=CRONO.NivelExibicao,MAX($AD$15:OFFSET(AD86,-1,0))+IF($C86&lt;&gt;1,1,MAX(1,COUNTIF(QCI!$A$13:$A$24,OFFSET($E86,-1,0)))),"")</f>
        <v/>
      </c>
      <c r="AE86" s="7" t="str">
        <f ca="1">IF(AND($C86="S",ORÇAMENTO.CodBarra&lt;&gt;""),IF(ORÇAMENTO.Fonte="",ORÇAMENTO.CodBarra,CONCATENATE(ORÇAMENTO.Fonte," ",ORÇAMENTO.CodBarra)))</f>
        <v>SINAPI-I 39805</v>
      </c>
      <c r="AF86" s="13">
        <f ca="1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3659</v>
      </c>
      <c r="AG86" s="498">
        <f ca="1">ROUND(IF(DESONERACAO="sim",REFERENCIA.Desonerado,REFERENCIA.NaoDesonerado),2)</f>
        <v>234.52</v>
      </c>
      <c r="AH86" s="499">
        <f t="shared" ca="1" si="14"/>
        <v>0.20349999999999999</v>
      </c>
      <c r="AJ86" s="501">
        <v>1</v>
      </c>
      <c r="AL86" s="527"/>
      <c r="AM86" s="381">
        <f t="shared" ca="1" si="0"/>
        <v>282.24</v>
      </c>
      <c r="AN86" s="566">
        <f t="shared" ca="1" si="15"/>
        <v>282.24</v>
      </c>
    </row>
    <row r="87" spans="1:40" ht="25.5" x14ac:dyDescent="0.2">
      <c r="A87" t="str">
        <f t="shared" si="1"/>
        <v>S</v>
      </c>
      <c r="B87">
        <f t="shared" ca="1" si="2"/>
        <v>2</v>
      </c>
      <c r="C87" t="str">
        <f t="shared" ca="1" si="3"/>
        <v>S</v>
      </c>
      <c r="D87">
        <f t="shared" ca="1" si="4"/>
        <v>0</v>
      </c>
      <c r="E87">
        <f ca="1">IF($C87=1,OFFSET(E87,-1,0)+MAX(1,COUNTIF(QCI!$A$13:$A$24,OFFSET(ORÇAMENTO!E87,-1,0))),OFFSET(E87,-1,0))</f>
        <v>6</v>
      </c>
      <c r="F87">
        <f t="shared" ca="1" si="5"/>
        <v>2</v>
      </c>
      <c r="G87">
        <f t="shared" ca="1" si="6"/>
        <v>0</v>
      </c>
      <c r="H87">
        <f t="shared" ca="1" si="7"/>
        <v>0</v>
      </c>
      <c r="I87">
        <f t="shared" ca="1" si="8"/>
        <v>3</v>
      </c>
      <c r="J87">
        <f ca="1">IF(OR($C87="S",$C87=0),0,MATCH(0,OFFSET($D87,1,$C87,ROW($C$165)-ROW($C87)),0))</f>
        <v>0</v>
      </c>
      <c r="K87">
        <f ca="1">IF(OR($C87="S",$C87=0),0,MATCH(OFFSET($D87,0,$C87)+IF($C87&lt;&gt;1,1,COUNTIF(QCI!$A$13:$A$24,ORÇAMENTO!E87)),OFFSET($D87,1,$C87,ROW($C$165)-ROW($C87)),0))</f>
        <v>0</v>
      </c>
      <c r="L87" s="116" t="str">
        <f t="shared" ca="1" si="9"/>
        <v>F</v>
      </c>
      <c r="M87" s="117" t="s">
        <v>199</v>
      </c>
      <c r="N87" s="118" t="str">
        <f t="shared" ca="1" si="10"/>
        <v>Serviço</v>
      </c>
      <c r="O87" s="119" t="str">
        <f t="shared" ca="1" si="11"/>
        <v>6.2.3.</v>
      </c>
      <c r="P87" s="120" t="s">
        <v>247</v>
      </c>
      <c r="Q87" s="121" t="s">
        <v>550</v>
      </c>
      <c r="R87" s="122" t="str">
        <f ca="1">IF($C87="S",REFERENCIA.Descricao,"(digite a descrição aqui)")</f>
        <v>DISJUNTOR BIPOLAR TIPO DIN, CORRENTE NOMINAL DE 32A - FORNECIMENTO E INSTALAÇÃO. AF_07/2025</v>
      </c>
      <c r="S87" s="123" t="str">
        <f ca="1">REFERENCIA.Unidade</f>
        <v>UN</v>
      </c>
      <c r="T87" s="124">
        <f ca="1">OFFSET(CÁLCULO!H$15,ROW($T87)-ROW(T$15),0)</f>
        <v>5</v>
      </c>
      <c r="U87" s="125">
        <f t="shared" ca="1" si="32"/>
        <v>66.27</v>
      </c>
      <c r="V87" s="126" t="s">
        <v>156</v>
      </c>
      <c r="W87" s="124">
        <f ca="1">IF($C87="S",ROUND(IF(TIPOORCAMENTO="Proposto",ORÇAMENTO.CustoUnitario*(1+$AH87),ORÇAMENTO.PrecoUnitarioLicitado),15-13*$AF$10),0)</f>
        <v>79.760000000000005</v>
      </c>
      <c r="X87" s="127">
        <f ca="1">IF($C87="S",IF(Import.TipoArredondamento&lt;&gt;"TransfereGOV",VTOTAL1,SUM(OFFSET(CÁLCULO!$AA$15,ROW($X87)-ROW($X$15),1):OFFSET(CÁLCULO!$AL$15,ROW($X87)-ROW($X$15),-1))),IF($C87=0,0,ROUND(SomaAgrup,15-13*$AF$11)))</f>
        <v>398.8</v>
      </c>
      <c r="Y87" s="128" t="s">
        <v>245</v>
      </c>
      <c r="Z87" t="str">
        <f t="shared" ca="1" si="12"/>
        <v>RA</v>
      </c>
      <c r="AA87" s="129">
        <f ca="1">IF($C87="S",IF($Z87="CP",$X87,IF($Z87="RA",(($X87)*QCI!$AA$3),0)),SomaAgrup)</f>
        <v>398.8</v>
      </c>
      <c r="AB87" s="130">
        <f t="shared" ca="1" si="13"/>
        <v>0</v>
      </c>
      <c r="AC87" s="131" t="str">
        <f ca="1">IF($N87="","",IF(ORÇAMENTO.Descricao="","DESCRIÇÃO",IF(AND($C87="S",ORÇAMENTO.Unidade=""),"UNIDADE",IF($X87&lt;0,"VALOR NEGATIVO",IF(OR(AND(TIPOORCAMENTO="Proposto",$AG87&lt;&gt;"",$AG87&gt;0,ORÇAMENTO.CustoUnitario&gt;$AG87),AND(TIPOORCAMENTO="LICITADO",ORÇAMENTO.PrecoUnitarioLicitado&gt;$AN87)),"ACIMA REF.","")))))</f>
        <v/>
      </c>
      <c r="AD87" t="str">
        <f ca="1">IF(C87&lt;=CRONO.NivelExibicao,MAX($AD$15:OFFSET(AD87,-1,0))+IF($C87&lt;&gt;1,1,MAX(1,COUNTIF(QCI!$A$13:$A$24,OFFSET($E87,-1,0)))),"")</f>
        <v/>
      </c>
      <c r="AE87" s="7" t="str">
        <f ca="1">IF(AND($C87="S",ORÇAMENTO.CodBarra&lt;&gt;""),IF(ORÇAMENTO.Fonte="",ORÇAMENTO.CodBarra,CONCATENATE(ORÇAMENTO.Fonte," ",ORÇAMENTO.CodBarra)))</f>
        <v>SINAPI 93664</v>
      </c>
      <c r="AF87" s="13">
        <f ca="1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11157</v>
      </c>
      <c r="AG87" s="498">
        <f ca="1">ROUND(IF(DESONERACAO="sim",REFERENCIA.Desonerado,REFERENCIA.NaoDesonerado),2)</f>
        <v>66.27</v>
      </c>
      <c r="AH87" s="499">
        <f t="shared" ca="1" si="14"/>
        <v>0.20349999999999999</v>
      </c>
      <c r="AJ87" s="501">
        <v>5</v>
      </c>
      <c r="AL87" s="527"/>
      <c r="AM87" s="381">
        <f t="shared" ca="1" si="0"/>
        <v>398.8</v>
      </c>
      <c r="AN87" s="566">
        <f t="shared" ca="1" si="15"/>
        <v>79.760000000000005</v>
      </c>
    </row>
    <row r="88" spans="1:40" ht="25.5" x14ac:dyDescent="0.2">
      <c r="A88" t="str">
        <f>CHOOSE(1+LOG(1+2*(ORÇAMENTO.Nivel="Meta")+4*(ORÇAMENTO.Nivel="Nível 2")+8*(ORÇAMENTO.Nivel="Nível 3")+16*(ORÇAMENTO.Nivel="Nível 4")+32*(ORÇAMENTO.Nivel="Serviço"),2),0,1,2,3,4,"S")</f>
        <v>S</v>
      </c>
      <c r="B88">
        <f ca="1">IF(OR(C88="s",C88=0),OFFSET(B88,-1,0),C88)</f>
        <v>2</v>
      </c>
      <c r="C88" t="str">
        <f ca="1">IF(OFFSET(C88,-1,0)="L",1,IF(OFFSET(C88,-1,0)=1,2,IF(OR(A88="s",A88=0),"S",IF(AND(OFFSET(C88,-1,0)=2,A88=4),3,IF(AND(OR(OFFSET(C88,-1,0)="s",OFFSET(C88,-1,0)=0),A88&lt;&gt;"s",A88&gt;OFFSET(B88,-1,0)),OFFSET(B88,-1,0),A88)))))</f>
        <v>S</v>
      </c>
      <c r="D88">
        <f ca="1">IF(OR(C88="S",C88=0),0,IF(ISERROR(K88),J88,SMALL(J88:K88,1)))</f>
        <v>0</v>
      </c>
      <c r="E88">
        <f ca="1">IF($C88=1,OFFSET(E88,-1,0)+MAX(1,COUNTIF(QCI!$A$13:$A$24,OFFSET(ORÇAMENTO!E88,-1,0))),OFFSET(E88,-1,0))</f>
        <v>6</v>
      </c>
      <c r="F88">
        <f ca="1">IF($C88=1,0,IF($C88=2,OFFSET(F88,-1,0)+1,OFFSET(F88,-1,0)))</f>
        <v>2</v>
      </c>
      <c r="G88">
        <f ca="1">IF(AND($C88&lt;=2,$C88&lt;&gt;0),0,IF($C88=3,OFFSET(G88,-1,0)+1,OFFSET(G88,-1,0)))</f>
        <v>0</v>
      </c>
      <c r="H88">
        <f ca="1">IF(AND($C88&lt;=3,$C88&lt;&gt;0),0,IF($C88=4,OFFSET(H88,-1,0)+1,OFFSET(H88,-1,0)))</f>
        <v>0</v>
      </c>
      <c r="I88">
        <f ca="1">IF(AND($C88&lt;=4,$C88&lt;&gt;0),0,IF(AND($C88="S",$X88&gt;0),OFFSET(I88,-1,0)+1,OFFSET(I88,-1,0)))</f>
        <v>4</v>
      </c>
      <c r="J88">
        <f ca="1">IF(OR($C88="S",$C88=0),0,MATCH(0,OFFSET($D88,1,$C88,ROW($C$165)-ROW($C88)),0))</f>
        <v>0</v>
      </c>
      <c r="K88">
        <f ca="1">IF(OR($C88="S",$C88=0),0,MATCH(OFFSET($D88,0,$C88)+IF($C88&lt;&gt;1,1,COUNTIF(QCI!$A$13:$A$24,ORÇAMENTO!E88)),OFFSET($D88,1,$C88,ROW($C$165)-ROW($C88)),0))</f>
        <v>0</v>
      </c>
      <c r="L88" s="116" t="str">
        <f ca="1">IF(OR($X88&gt;0,$C88=1,$C88=2,$C88=3,$C88=4),"F","")</f>
        <v>F</v>
      </c>
      <c r="M88" s="117" t="s">
        <v>199</v>
      </c>
      <c r="N88" s="118" t="str">
        <f ca="1">CHOOSE(1+LOG(1+2*(C88=1)+4*(C88=2)+8*(C88=3)+16*(C88=4)+32*(C88="S"),2),"","Meta","Nível 2","Nível 3","Nível 4","Serviço")</f>
        <v>Serviço</v>
      </c>
      <c r="O88" s="119" t="str">
        <f ca="1">IF(OR($C88=0,$L88=""),"-",CONCATENATE(E88&amp;".",IF(AND($A$5&gt;=2,$C88&gt;=2),F88&amp;".",""),IF(AND($A$5&gt;=3,$C88&gt;=3),G88&amp;".",""),IF(AND($A$5&gt;=4,$C88&gt;=4),H88&amp;".",""),IF($C88="S",I88&amp;".","")))</f>
        <v>6.2.4.</v>
      </c>
      <c r="P88" s="120" t="s">
        <v>247</v>
      </c>
      <c r="Q88" s="121" t="s">
        <v>549</v>
      </c>
      <c r="R88" s="122" t="str">
        <f ca="1">IF($C88="S",REFERENCIA.Descricao,"(digite a descrição aqui)")</f>
        <v>DISJUNTOR BIPOLAR TIPO DIN, CORRENTE NOMINAL DE 20A - FORNECIMENTO E INSTALAÇÃO. AF_07/2025</v>
      </c>
      <c r="S88" s="123" t="str">
        <f ca="1">REFERENCIA.Unidade</f>
        <v>UN</v>
      </c>
      <c r="T88" s="124">
        <f ca="1">OFFSET(CÁLCULO!H$15,ROW($T88)-ROW(T$15),0)</f>
        <v>2</v>
      </c>
      <c r="U88" s="125">
        <f t="shared" ca="1" si="32"/>
        <v>59.43</v>
      </c>
      <c r="V88" s="126" t="s">
        <v>156</v>
      </c>
      <c r="W88" s="124">
        <f ca="1">IF($C88="S",ROUND(IF(TIPOORCAMENTO="Proposto",ORÇAMENTO.CustoUnitario*(1+$AH88),ORÇAMENTO.PrecoUnitarioLicitado),15-13*$AF$10),0)</f>
        <v>71.52</v>
      </c>
      <c r="X88" s="127">
        <f ca="1">IF($C88="S",IF(Import.TipoArredondamento&lt;&gt;"TransfereGOV",VTOTAL1,SUM(OFFSET(CÁLCULO!$AA$15,ROW($X88)-ROW($X$15),1):OFFSET(CÁLCULO!$AL$15,ROW($X88)-ROW($X$15),-1))),IF($C88=0,0,ROUND(SomaAgrup,15-13*$AF$11)))</f>
        <v>143.04</v>
      </c>
      <c r="Y88" s="128" t="s">
        <v>245</v>
      </c>
      <c r="Z88" t="str">
        <f ca="1">IF(AND($C88="S",$X88&gt;0),IF(ISBLANK($Y88),"RA",LEFT($Y88,2)),"")</f>
        <v>RA</v>
      </c>
      <c r="AA88" s="129">
        <f ca="1">IF($C88="S",IF($Z88="CP",$X88,IF($Z88="RA",(($X88)*QCI!$AA$3),0)),SomaAgrup)</f>
        <v>143.04</v>
      </c>
      <c r="AB88" s="130">
        <f ca="1">IF($C88="S",IF($Z88="OU",ROUND($X88,2),0),SomaAgrup)</f>
        <v>0</v>
      </c>
      <c r="AC88" s="131" t="str">
        <f ca="1">IF($N88="","",IF(ORÇAMENTO.Descricao="","DESCRIÇÃO",IF(AND($C88="S",ORÇAMENTO.Unidade=""),"UNIDADE",IF($X88&lt;0,"VALOR NEGATIVO",IF(OR(AND(TIPOORCAMENTO="Proposto",$AG88&lt;&gt;"",$AG88&gt;0,ORÇAMENTO.CustoUnitario&gt;$AG88),AND(TIPOORCAMENTO="LICITADO",ORÇAMENTO.PrecoUnitarioLicitado&gt;$AN88)),"ACIMA REF.","")))))</f>
        <v/>
      </c>
      <c r="AD88" t="str">
        <f ca="1">IF(C88&lt;=CRONO.NivelExibicao,MAX($AD$15:OFFSET(AD88,-1,0))+IF($C88&lt;&gt;1,1,MAX(1,COUNTIF(QCI!$A$13:$A$24,OFFSET($E88,-1,0)))),"")</f>
        <v/>
      </c>
      <c r="AE88" s="7" t="str">
        <f ca="1">IF(AND($C88="S",ORÇAMENTO.CodBarra&lt;&gt;""),IF(ORÇAMENTO.Fonte="",ORÇAMENTO.CodBarra,CONCATENATE(ORÇAMENTO.Fonte," ",ORÇAMENTO.CodBarra)))</f>
        <v>SINAPI 93662</v>
      </c>
      <c r="AF88" s="13">
        <f ca="1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11155</v>
      </c>
      <c r="AG88" s="498">
        <f ca="1">ROUND(IF(DESONERACAO="sim",REFERENCIA.Desonerado,REFERENCIA.NaoDesonerado),2)</f>
        <v>59.43</v>
      </c>
      <c r="AH88" s="499">
        <f ca="1">ROUND(IF(ISNUMBER(ORÇAMENTO.OpcaoBDI),ORÇAMENTO.OpcaoBDI,IF(LEFT(ORÇAMENTO.OpcaoBDI,3)="BDI",HLOOKUP(ORÇAMENTO.OpcaoBDI,$F$4:$H$5,2,FALSE),0)),15-11*$AF$9)</f>
        <v>0.20349999999999999</v>
      </c>
      <c r="AJ88" s="501">
        <v>2</v>
      </c>
      <c r="AL88" s="527"/>
      <c r="AM88" s="381">
        <f t="shared" ca="1" si="0"/>
        <v>143.04</v>
      </c>
      <c r="AN88" s="566">
        <f ca="1">ROUND(ORÇAMENTO.CustoUnitario*(1+$AH88),2)</f>
        <v>71.52</v>
      </c>
    </row>
    <row r="89" spans="1:40" ht="25.5" x14ac:dyDescent="0.2">
      <c r="A89" t="str">
        <f t="shared" si="1"/>
        <v>S</v>
      </c>
      <c r="B89">
        <f t="shared" ca="1" si="2"/>
        <v>2</v>
      </c>
      <c r="C89" t="str">
        <f t="shared" ca="1" si="3"/>
        <v>S</v>
      </c>
      <c r="D89">
        <f t="shared" ca="1" si="4"/>
        <v>0</v>
      </c>
      <c r="E89">
        <f ca="1">IF($C89=1,OFFSET(E89,-1,0)+MAX(1,COUNTIF(QCI!$A$13:$A$24,OFFSET(ORÇAMENTO!E89,-1,0))),OFFSET(E89,-1,0))</f>
        <v>6</v>
      </c>
      <c r="F89">
        <f t="shared" ca="1" si="5"/>
        <v>2</v>
      </c>
      <c r="G89">
        <f t="shared" ca="1" si="6"/>
        <v>0</v>
      </c>
      <c r="H89">
        <f t="shared" ca="1" si="7"/>
        <v>0</v>
      </c>
      <c r="I89">
        <f t="shared" ca="1" si="8"/>
        <v>5</v>
      </c>
      <c r="J89">
        <f ca="1">IF(OR($C89="S",$C89=0),0,MATCH(0,OFFSET($D89,1,$C89,ROW($C$165)-ROW($C89)),0))</f>
        <v>0</v>
      </c>
      <c r="K89">
        <f ca="1">IF(OR($C89="S",$C89=0),0,MATCH(OFFSET($D89,0,$C89)+IF($C89&lt;&gt;1,1,COUNTIF(QCI!$A$13:$A$24,ORÇAMENTO!E89)),OFFSET($D89,1,$C89,ROW($C$165)-ROW($C89)),0))</f>
        <v>0</v>
      </c>
      <c r="L89" s="116" t="str">
        <f t="shared" ca="1" si="9"/>
        <v>F</v>
      </c>
      <c r="M89" s="117" t="s">
        <v>199</v>
      </c>
      <c r="N89" s="118" t="str">
        <f t="shared" ca="1" si="10"/>
        <v>Serviço</v>
      </c>
      <c r="O89" s="119" t="str">
        <f t="shared" ca="1" si="11"/>
        <v>6.2.5.</v>
      </c>
      <c r="P89" s="120" t="s">
        <v>449</v>
      </c>
      <c r="Q89" s="121" t="s">
        <v>452</v>
      </c>
      <c r="R89" s="122" t="str">
        <f ca="1">IF($C89="S",REFERENCIA.Descricao,"(digite a descrição aqui)")</f>
        <v>CAIXA DE PASSAGEM, EM PVC, DE 4" X 2", PARA ELETRODUTO FLEXIVEL CORRUGADO</v>
      </c>
      <c r="S89" s="123" t="str">
        <f ca="1">REFERENCIA.Unidade</f>
        <v>UN</v>
      </c>
      <c r="T89" s="124">
        <f ca="1">OFFSET(CÁLCULO!H$15,ROW($T89)-ROW(T$15),0)</f>
        <v>30</v>
      </c>
      <c r="U89" s="125">
        <f t="shared" ca="1" si="32"/>
        <v>1.92</v>
      </c>
      <c r="V89" s="126" t="s">
        <v>156</v>
      </c>
      <c r="W89" s="124">
        <f ca="1">IF($C89="S",ROUND(IF(TIPOORCAMENTO="Proposto",ORÇAMENTO.CustoUnitario*(1+$AH89),ORÇAMENTO.PrecoUnitarioLicitado),15-13*$AF$10),0)</f>
        <v>2.31</v>
      </c>
      <c r="X89" s="127">
        <f ca="1">IF($C89="S",IF(Import.TipoArredondamento&lt;&gt;"TransfereGOV",VTOTAL1,SUM(OFFSET(CÁLCULO!$AA$15,ROW($X89)-ROW($X$15),1):OFFSET(CÁLCULO!$AL$15,ROW($X89)-ROW($X$15),-1))),IF($C89=0,0,ROUND(SomaAgrup,15-13*$AF$11)))</f>
        <v>69.3</v>
      </c>
      <c r="Y89" s="128" t="s">
        <v>245</v>
      </c>
      <c r="Z89" t="str">
        <f t="shared" ca="1" si="12"/>
        <v>RA</v>
      </c>
      <c r="AA89" s="129">
        <f ca="1">IF($C89="S",IF($Z89="CP",$X89,IF($Z89="RA",(($X89)*QCI!$AA$3),0)),SomaAgrup)</f>
        <v>69.3</v>
      </c>
      <c r="AB89" s="130">
        <f t="shared" ca="1" si="13"/>
        <v>0</v>
      </c>
      <c r="AC89" s="131" t="str">
        <f ca="1">IF($N89="","",IF(ORÇAMENTO.Descricao="","DESCRIÇÃO",IF(AND($C89="S",ORÇAMENTO.Unidade=""),"UNIDADE",IF($X89&lt;0,"VALOR NEGATIVO",IF(OR(AND(TIPOORCAMENTO="Proposto",$AG89&lt;&gt;"",$AG89&gt;0,ORÇAMENTO.CustoUnitario&gt;$AG89),AND(TIPOORCAMENTO="LICITADO",ORÇAMENTO.PrecoUnitarioLicitado&gt;$AN89)),"ACIMA REF.","")))))</f>
        <v/>
      </c>
      <c r="AD89" t="str">
        <f ca="1">IF(C89&lt;=CRONO.NivelExibicao,MAX($AD$15:OFFSET(AD89,-1,0))+IF($C89&lt;&gt;1,1,MAX(1,COUNTIF(QCI!$A$13:$A$24,OFFSET($E89,-1,0)))),"")</f>
        <v/>
      </c>
      <c r="AE89" s="7" t="str">
        <f ca="1">IF(AND($C89="S",ORÇAMENTO.CodBarra&lt;&gt;""),IF(ORÇAMENTO.Fonte="",ORÇAMENTO.CodBarra,CONCATENATE(ORÇAMENTO.Fonte," ",ORÇAMENTO.CodBarra)))</f>
        <v>SINAPI-I 1872</v>
      </c>
      <c r="AF89" s="13">
        <f ca="1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906</v>
      </c>
      <c r="AG89" s="498">
        <f ca="1">ROUND(IF(DESONERACAO="sim",REFERENCIA.Desonerado,REFERENCIA.NaoDesonerado),2)</f>
        <v>1.92</v>
      </c>
      <c r="AH89" s="499">
        <f t="shared" ca="1" si="14"/>
        <v>0.20349999999999999</v>
      </c>
      <c r="AJ89" s="501">
        <f>SUM(AJ92:AJ94)</f>
        <v>30</v>
      </c>
      <c r="AL89" s="527"/>
      <c r="AM89" s="381">
        <f t="shared" ca="1" si="0"/>
        <v>69.3</v>
      </c>
      <c r="AN89" s="566">
        <f t="shared" ca="1" si="15"/>
        <v>2.31</v>
      </c>
    </row>
    <row r="90" spans="1:40" ht="25.5" x14ac:dyDescent="0.2">
      <c r="A90" t="str">
        <f t="shared" si="1"/>
        <v>S</v>
      </c>
      <c r="B90">
        <f t="shared" ca="1" si="2"/>
        <v>2</v>
      </c>
      <c r="C90" t="str">
        <f t="shared" ca="1" si="3"/>
        <v>S</v>
      </c>
      <c r="D90">
        <f t="shared" ca="1" si="4"/>
        <v>0</v>
      </c>
      <c r="E90">
        <f ca="1">IF($C90=1,OFFSET(E90,-1,0)+MAX(1,COUNTIF(QCI!$A$13:$A$24,OFFSET(ORÇAMENTO!E90,-1,0))),OFFSET(E90,-1,0))</f>
        <v>6</v>
      </c>
      <c r="F90">
        <f t="shared" ca="1" si="5"/>
        <v>2</v>
      </c>
      <c r="G90">
        <f t="shared" ca="1" si="6"/>
        <v>0</v>
      </c>
      <c r="H90">
        <f t="shared" ca="1" si="7"/>
        <v>0</v>
      </c>
      <c r="I90">
        <f t="shared" ca="1" si="8"/>
        <v>6</v>
      </c>
      <c r="J90">
        <f ca="1">IF(OR($C90="S",$C90=0),0,MATCH(0,OFFSET($D90,1,$C90,ROW($C$165)-ROW($C90)),0))</f>
        <v>0</v>
      </c>
      <c r="K90">
        <f ca="1">IF(OR($C90="S",$C90=0),0,MATCH(OFFSET($D90,0,$C90)+IF($C90&lt;&gt;1,1,COUNTIF(QCI!$A$13:$A$24,ORÇAMENTO!E90)),OFFSET($D90,1,$C90,ROW($C$165)-ROW($C90)),0))</f>
        <v>0</v>
      </c>
      <c r="L90" s="116" t="str">
        <f t="shared" ca="1" si="9"/>
        <v>F</v>
      </c>
      <c r="M90" s="117" t="s">
        <v>199</v>
      </c>
      <c r="N90" s="118" t="str">
        <f t="shared" ca="1" si="10"/>
        <v>Serviço</v>
      </c>
      <c r="O90" s="119" t="str">
        <f t="shared" ca="1" si="11"/>
        <v>6.2.6.</v>
      </c>
      <c r="P90" s="120" t="s">
        <v>247</v>
      </c>
      <c r="Q90" s="121" t="s">
        <v>532</v>
      </c>
      <c r="R90" s="122" t="str">
        <f ca="1">IF($C90="S",REFERENCIA.Descricao,"(digite a descrição aqui)")</f>
        <v>LUMINÁRIA TIPO PLAFON CIRCULAR, DE SOBREPOR, COM LED DE 12/13 W - FORNECIMENTO E INSTALAÇÃO. AF_09/2024</v>
      </c>
      <c r="S90" s="123" t="str">
        <f ca="1">REFERENCIA.Unidade</f>
        <v>UN</v>
      </c>
      <c r="T90" s="124">
        <f ca="1">OFFSET(CÁLCULO!H$15,ROW($T90)-ROW(T$15),0)</f>
        <v>20</v>
      </c>
      <c r="U90" s="125">
        <f t="shared" ca="1" si="32"/>
        <v>40.24</v>
      </c>
      <c r="V90" s="126" t="s">
        <v>156</v>
      </c>
      <c r="W90" s="124">
        <f ca="1">IF($C90="S",ROUND(IF(TIPOORCAMENTO="Proposto",ORÇAMENTO.CustoUnitario*(1+$AH90),ORÇAMENTO.PrecoUnitarioLicitado),15-13*$AF$10),0)</f>
        <v>48.43</v>
      </c>
      <c r="X90" s="127">
        <f ca="1">IF($C90="S",IF(Import.TipoArredondamento&lt;&gt;"TransfereGOV",VTOTAL1,SUM(OFFSET(CÁLCULO!$AA$15,ROW($X90)-ROW($X$15),1):OFFSET(CÁLCULO!$AL$15,ROW($X90)-ROW($X$15),-1))),IF($C90=0,0,ROUND(SomaAgrup,15-13*$AF$11)))</f>
        <v>968.6</v>
      </c>
      <c r="Y90" s="128" t="s">
        <v>245</v>
      </c>
      <c r="Z90" t="str">
        <f t="shared" ca="1" si="12"/>
        <v>RA</v>
      </c>
      <c r="AA90" s="129">
        <f ca="1">IF($C90="S",IF($Z90="CP",$X90,IF($Z90="RA",(($X90)*QCI!$AA$3),0)),SomaAgrup)</f>
        <v>968.6</v>
      </c>
      <c r="AB90" s="130">
        <f t="shared" ca="1" si="13"/>
        <v>0</v>
      </c>
      <c r="AC90" s="131" t="str">
        <f ca="1">IF($N90="","",IF(ORÇAMENTO.Descricao="","DESCRIÇÃO",IF(AND($C90="S",ORÇAMENTO.Unidade=""),"UNIDADE",IF($X90&lt;0,"VALOR NEGATIVO",IF(OR(AND(TIPOORCAMENTO="Proposto",$AG90&lt;&gt;"",$AG90&gt;0,ORÇAMENTO.CustoUnitario&gt;$AG90),AND(TIPOORCAMENTO="LICITADO",ORÇAMENTO.PrecoUnitarioLicitado&gt;$AN90)),"ACIMA REF.","")))))</f>
        <v/>
      </c>
      <c r="AD90" t="str">
        <f ca="1">IF(C90&lt;=CRONO.NivelExibicao,MAX($AD$15:OFFSET(AD90,-1,0))+IF($C90&lt;&gt;1,1,MAX(1,COUNTIF(QCI!$A$13:$A$24,OFFSET($E90,-1,0)))),"")</f>
        <v/>
      </c>
      <c r="AE90" s="7" t="str">
        <f ca="1">IF(AND($C90="S",ORÇAMENTO.CodBarra&lt;&gt;""),IF(ORÇAMENTO.Fonte="",ORÇAMENTO.CodBarra,CONCATENATE(ORÇAMENTO.Fonte," ",ORÇAMENTO.CodBarra)))</f>
        <v>SINAPI 103782</v>
      </c>
      <c r="AF90" s="13">
        <f ca="1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10795</v>
      </c>
      <c r="AG90" s="498">
        <f ca="1">ROUND(IF(DESONERACAO="sim",REFERENCIA.Desonerado,REFERENCIA.NaoDesonerado),2)</f>
        <v>40.24</v>
      </c>
      <c r="AH90" s="499">
        <f t="shared" ca="1" si="14"/>
        <v>0.20349999999999999</v>
      </c>
      <c r="AJ90" s="501">
        <v>20</v>
      </c>
      <c r="AL90" s="527"/>
      <c r="AM90" s="381">
        <f t="shared" ca="1" si="0"/>
        <v>968.6</v>
      </c>
      <c r="AN90" s="566">
        <f t="shared" ca="1" si="15"/>
        <v>48.43</v>
      </c>
    </row>
    <row r="91" spans="1:40" x14ac:dyDescent="0.2">
      <c r="A91" t="str">
        <f>CHOOSE(1+LOG(1+2*(ORÇAMENTO.Nivel="Meta")+4*(ORÇAMENTO.Nivel="Nível 2")+8*(ORÇAMENTO.Nivel="Nível 3")+16*(ORÇAMENTO.Nivel="Nível 4")+32*(ORÇAMENTO.Nivel="Serviço"),2),0,1,2,3,4,"S")</f>
        <v>S</v>
      </c>
      <c r="B91">
        <f ca="1">IF(OR(C91="s",C91=0),OFFSET(B91,-1,0),C91)</f>
        <v>2</v>
      </c>
      <c r="C91" t="str">
        <f ca="1">IF(OFFSET(C91,-1,0)="L",1,IF(OFFSET(C91,-1,0)=1,2,IF(OR(A91="s",A91=0),"S",IF(AND(OFFSET(C91,-1,0)=2,A91=4),3,IF(AND(OR(OFFSET(C91,-1,0)="s",OFFSET(C91,-1,0)=0),A91&lt;&gt;"s",A91&gt;OFFSET(B91,-1,0)),OFFSET(B91,-1,0),A91)))))</f>
        <v>S</v>
      </c>
      <c r="D91">
        <f ca="1">IF(OR(C91="S",C91=0),0,IF(ISERROR(K91),J91,SMALL(J91:K91,1)))</f>
        <v>0</v>
      </c>
      <c r="E91">
        <f ca="1">IF($C91=1,OFFSET(E91,-1,0)+MAX(1,COUNTIF(QCI!$A$13:$A$24,OFFSET(ORÇAMENTO!E91,-1,0))),OFFSET(E91,-1,0))</f>
        <v>6</v>
      </c>
      <c r="F91">
        <f ca="1">IF($C91=1,0,IF($C91=2,OFFSET(F91,-1,0)+1,OFFSET(F91,-1,0)))</f>
        <v>2</v>
      </c>
      <c r="G91">
        <f ca="1">IF(AND($C91&lt;=2,$C91&lt;&gt;0),0,IF($C91=3,OFFSET(G91,-1,0)+1,OFFSET(G91,-1,0)))</f>
        <v>0</v>
      </c>
      <c r="H91">
        <f ca="1">IF(AND($C91&lt;=3,$C91&lt;&gt;0),0,IF($C91=4,OFFSET(H91,-1,0)+1,OFFSET(H91,-1,0)))</f>
        <v>0</v>
      </c>
      <c r="I91">
        <f ca="1">IF(AND($C91&lt;=4,$C91&lt;&gt;0),0,IF(AND($C91="S",$X91&gt;0),OFFSET(I91,-1,0)+1,OFFSET(I91,-1,0)))</f>
        <v>7</v>
      </c>
      <c r="J91">
        <f ca="1">IF(OR($C91="S",$C91=0),0,MATCH(0,OFFSET($D91,1,$C91,ROW($C$165)-ROW($C91)),0))</f>
        <v>0</v>
      </c>
      <c r="K91">
        <f ca="1">IF(OR($C91="S",$C91=0),0,MATCH(OFFSET($D91,0,$C91)+IF($C91&lt;&gt;1,1,COUNTIF(QCI!$A$13:$A$24,ORÇAMENTO!E91)),OFFSET($D91,1,$C91,ROW($C$165)-ROW($C91)),0))</f>
        <v>0</v>
      </c>
      <c r="L91" s="116" t="str">
        <f ca="1">IF(OR($X91&gt;0,$C91=1,$C91=2,$C91=3,$C91=4),"F","")</f>
        <v>F</v>
      </c>
      <c r="M91" s="117" t="s">
        <v>199</v>
      </c>
      <c r="N91" s="118" t="str">
        <f ca="1">CHOOSE(1+LOG(1+2*(C91=1)+4*(C91=2)+8*(C91=3)+16*(C91=4)+32*(C91="S"),2),"","Meta","Nível 2","Nível 3","Nível 4","Serviço")</f>
        <v>Serviço</v>
      </c>
      <c r="O91" s="119" t="str">
        <f ca="1">IF(OR($C91=0,$L91=""),"-",CONCATENATE(E91&amp;".",IF(AND($A$5&gt;=2,$C91&gt;=2),F91&amp;".",""),IF(AND($A$5&gt;=3,$C91&gt;=3),G91&amp;".",""),IF(AND($A$5&gt;=4,$C91&gt;=4),H91&amp;".",""),IF($C91="S",I91&amp;".","")))</f>
        <v>6.2.7.</v>
      </c>
      <c r="P91" s="120" t="s">
        <v>449</v>
      </c>
      <c r="Q91" s="121" t="s">
        <v>551</v>
      </c>
      <c r="R91" s="122" t="str">
        <f ca="1">IF($C91="S",REFERENCIA.Descricao,"(digite a descrição aqui)")</f>
        <v>LUMINARIA LED REFLETOR RETANGULAR BIVOLT, LUZ BRANCA, 50 W</v>
      </c>
      <c r="S91" s="123" t="str">
        <f ca="1">REFERENCIA.Unidade</f>
        <v>UN</v>
      </c>
      <c r="T91" s="124">
        <f ca="1">OFFSET(CÁLCULO!H$15,ROW($T91)-ROW(T$15),0)</f>
        <v>12</v>
      </c>
      <c r="U91" s="125">
        <f t="shared" ca="1" si="32"/>
        <v>30.8</v>
      </c>
      <c r="V91" s="126" t="s">
        <v>156</v>
      </c>
      <c r="W91" s="124">
        <f ca="1">IF($C91="S",ROUND(IF(TIPOORCAMENTO="Proposto",ORÇAMENTO.CustoUnitario*(1+$AH91),ORÇAMENTO.PrecoUnitarioLicitado),15-13*$AF$10),0)</f>
        <v>37.07</v>
      </c>
      <c r="X91" s="127">
        <f ca="1">IF($C91="S",IF(Import.TipoArredondamento&lt;&gt;"TransfereGOV",VTOTAL1,SUM(OFFSET(CÁLCULO!$AA$15,ROW($X91)-ROW($X$15),1):OFFSET(CÁLCULO!$AL$15,ROW($X91)-ROW($X$15),-1))),IF($C91=0,0,ROUND(SomaAgrup,15-13*$AF$11)))</f>
        <v>444.84</v>
      </c>
      <c r="Y91" s="128" t="s">
        <v>245</v>
      </c>
      <c r="Z91" t="str">
        <f ca="1">IF(AND($C91="S",$X91&gt;0),IF(ISBLANK($Y91),"RA",LEFT($Y91,2)),"")</f>
        <v>RA</v>
      </c>
      <c r="AA91" s="129">
        <f ca="1">IF($C91="S",IF($Z91="CP",$X91,IF($Z91="RA",(($X91)*QCI!$AA$3),0)),SomaAgrup)</f>
        <v>444.84</v>
      </c>
      <c r="AB91" s="130">
        <f ca="1">IF($C91="S",IF($Z91="OU",ROUND($X91,2),0),SomaAgrup)</f>
        <v>0</v>
      </c>
      <c r="AC91" s="131" t="str">
        <f ca="1">IF($N91="","",IF(ORÇAMENTO.Descricao="","DESCRIÇÃO",IF(AND($C91="S",ORÇAMENTO.Unidade=""),"UNIDADE",IF($X91&lt;0,"VALOR NEGATIVO",IF(OR(AND(TIPOORCAMENTO="Proposto",$AG91&lt;&gt;"",$AG91&gt;0,ORÇAMENTO.CustoUnitario&gt;$AG91),AND(TIPOORCAMENTO="LICITADO",ORÇAMENTO.PrecoUnitarioLicitado&gt;$AN91)),"ACIMA REF.","")))))</f>
        <v/>
      </c>
      <c r="AD91" t="str">
        <f ca="1">IF(C91&lt;=CRONO.NivelExibicao,MAX($AD$15:OFFSET(AD91,-1,0))+IF($C91&lt;&gt;1,1,MAX(1,COUNTIF(QCI!$A$13:$A$24,OFFSET($E91,-1,0)))),"")</f>
        <v/>
      </c>
      <c r="AE91" s="7" t="str">
        <f ca="1">IF(AND($C91="S",ORÇAMENTO.CodBarra&lt;&gt;""),IF(ORÇAMENTO.Fonte="",ORÇAMENTO.CodBarra,CONCATENATE(ORÇAMENTO.Fonte," ",ORÇAMENTO.CodBarra)))</f>
        <v>SINAPI-I 39391</v>
      </c>
      <c r="AF91" s="13">
        <f ca="1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2642</v>
      </c>
      <c r="AG91" s="498">
        <f ca="1">ROUND(IF(DESONERACAO="sim",REFERENCIA.Desonerado,REFERENCIA.NaoDesonerado),2)</f>
        <v>30.8</v>
      </c>
      <c r="AH91" s="499">
        <f ca="1">ROUND(IF(ISNUMBER(ORÇAMENTO.OpcaoBDI),ORÇAMENTO.OpcaoBDI,IF(LEFT(ORÇAMENTO.OpcaoBDI,3)="BDI",HLOOKUP(ORÇAMENTO.OpcaoBDI,$F$4:$H$5,2,FALSE),0)),15-11*$AF$9)</f>
        <v>0.20349999999999999</v>
      </c>
      <c r="AJ91" s="501">
        <v>12</v>
      </c>
      <c r="AL91" s="527"/>
      <c r="AM91" s="381">
        <f t="shared" ca="1" si="0"/>
        <v>444.84</v>
      </c>
      <c r="AN91" s="566">
        <f ca="1">ROUND(ORÇAMENTO.CustoUnitario*(1+$AH91),2)</f>
        <v>37.07</v>
      </c>
    </row>
    <row r="92" spans="1:40" ht="25.5" x14ac:dyDescent="0.2">
      <c r="A92" t="str">
        <f>CHOOSE(1+LOG(1+2*(ORÇAMENTO.Nivel="Meta")+4*(ORÇAMENTO.Nivel="Nível 2")+8*(ORÇAMENTO.Nivel="Nível 3")+16*(ORÇAMENTO.Nivel="Nível 4")+32*(ORÇAMENTO.Nivel="Serviço"),2),0,1,2,3,4,"S")</f>
        <v>S</v>
      </c>
      <c r="B92">
        <f t="shared" ref="B92" ca="1" si="97">IF(OR(C92="s",C92=0),OFFSET(B92,-1,0),C92)</f>
        <v>2</v>
      </c>
      <c r="C92" t="str">
        <f t="shared" ref="C92" ca="1" si="98">IF(OFFSET(C92,-1,0)="L",1,IF(OFFSET(C92,-1,0)=1,2,IF(OR(A92="s",A92=0),"S",IF(AND(OFFSET(C92,-1,0)=2,A92=4),3,IF(AND(OR(OFFSET(C92,-1,0)="s",OFFSET(C92,-1,0)=0),A92&lt;&gt;"s",A92&gt;OFFSET(B92,-1,0)),OFFSET(B92,-1,0),A92)))))</f>
        <v>S</v>
      </c>
      <c r="D92">
        <f t="shared" ref="D92" ca="1" si="99">IF(OR(C92="S",C92=0),0,IF(ISERROR(K92),J92,SMALL(J92:K92,1)))</f>
        <v>0</v>
      </c>
      <c r="E92">
        <f ca="1">IF($C92=1,OFFSET(E92,-1,0)+MAX(1,COUNTIF(QCI!$A$13:$A$24,OFFSET(ORÇAMENTO!E92,-1,0))),OFFSET(E92,-1,0))</f>
        <v>6</v>
      </c>
      <c r="F92">
        <f t="shared" ref="F92" ca="1" si="100">IF($C92=1,0,IF($C92=2,OFFSET(F92,-1,0)+1,OFFSET(F92,-1,0)))</f>
        <v>2</v>
      </c>
      <c r="G92">
        <f t="shared" ref="G92" ca="1" si="101">IF(AND($C92&lt;=2,$C92&lt;&gt;0),0,IF($C92=3,OFFSET(G92,-1,0)+1,OFFSET(G92,-1,0)))</f>
        <v>0</v>
      </c>
      <c r="H92">
        <f t="shared" ref="H92" ca="1" si="102">IF(AND($C92&lt;=3,$C92&lt;&gt;0),0,IF($C92=4,OFFSET(H92,-1,0)+1,OFFSET(H92,-1,0)))</f>
        <v>0</v>
      </c>
      <c r="I92">
        <f t="shared" ref="I92" ca="1" si="103">IF(AND($C92&lt;=4,$C92&lt;&gt;0),0,IF(AND($C92="S",$X92&gt;0),OFFSET(I92,-1,0)+1,OFFSET(I92,-1,0)))</f>
        <v>8</v>
      </c>
      <c r="J92">
        <f ca="1">IF(OR($C92="S",$C92=0),0,MATCH(0,OFFSET($D92,1,$C92,ROW($C$165)-ROW($C92)),0))</f>
        <v>0</v>
      </c>
      <c r="K92">
        <f ca="1">IF(OR($C92="S",$C92=0),0,MATCH(OFFSET($D92,0,$C92)+IF($C92&lt;&gt;1,1,COUNTIF(QCI!$A$13:$A$24,ORÇAMENTO!E92)),OFFSET($D92,1,$C92,ROW($C$165)-ROW($C92)),0))</f>
        <v>0</v>
      </c>
      <c r="L92" s="116" t="str">
        <f t="shared" ref="L92" ca="1" si="104">IF(OR($X92&gt;0,$C92=1,$C92=2,$C92=3,$C92=4),"F","")</f>
        <v>F</v>
      </c>
      <c r="M92" s="117" t="s">
        <v>199</v>
      </c>
      <c r="N92" s="118" t="str">
        <f t="shared" ref="N92" ca="1" si="105">CHOOSE(1+LOG(1+2*(C92=1)+4*(C92=2)+8*(C92=3)+16*(C92=4)+32*(C92="S"),2),"","Meta","Nível 2","Nível 3","Nível 4","Serviço")</f>
        <v>Serviço</v>
      </c>
      <c r="O92" s="119" t="str">
        <f t="shared" ref="O92" ca="1" si="106">IF(OR($C92=0,$L92=""),"-",CONCATENATE(E92&amp;".",IF(AND($A$5&gt;=2,$C92&gt;=2),F92&amp;".",""),IF(AND($A$5&gt;=3,$C92&gt;=3),G92&amp;".",""),IF(AND($A$5&gt;=4,$C92&gt;=4),H92&amp;".",""),IF($C92="S",I92&amp;".","")))</f>
        <v>6.2.8.</v>
      </c>
      <c r="P92" s="120" t="s">
        <v>247</v>
      </c>
      <c r="Q92" s="121" t="s">
        <v>531</v>
      </c>
      <c r="R92" s="122" t="str">
        <f ca="1">IF($C92="S",REFERENCIA.Descricao,"(digite a descrição aqui)")</f>
        <v>TOMADA BAIXA DE EMBUTIR (1 MÓDULO), 2P+T 10 A, INCLUINDO SUPORTE E PLACA - FORNECIMENTO E INSTALAÇÃO. AF_03/2023</v>
      </c>
      <c r="S92" s="123" t="str">
        <f ca="1">REFERENCIA.Unidade</f>
        <v>UN</v>
      </c>
      <c r="T92" s="124">
        <f ca="1">OFFSET(CÁLCULO!H$15,ROW($T92)-ROW(T$15),0)</f>
        <v>10</v>
      </c>
      <c r="U92" s="125">
        <f t="shared" ca="1" si="32"/>
        <v>43.42</v>
      </c>
      <c r="V92" s="126" t="s">
        <v>156</v>
      </c>
      <c r="W92" s="124">
        <f ca="1">IF($C92="S",ROUND(IF(TIPOORCAMENTO="Proposto",ORÇAMENTO.CustoUnitario*(1+$AH92),ORÇAMENTO.PrecoUnitarioLicitado),15-13*$AF$10),0)</f>
        <v>52.26</v>
      </c>
      <c r="X92" s="127">
        <f ca="1">IF($C92="S",IF(Import.TipoArredondamento&lt;&gt;"TransfereGOV",VTOTAL1,SUM(OFFSET(CÁLCULO!$AA$15,ROW($X92)-ROW($X$15),1):OFFSET(CÁLCULO!$AL$15,ROW($X92)-ROW($X$15),-1))),IF($C92=0,0,ROUND(SomaAgrup,15-13*$AF$11)))</f>
        <v>522.6</v>
      </c>
      <c r="Y92" s="128" t="s">
        <v>245</v>
      </c>
      <c r="Z92" t="str">
        <f t="shared" ref="Z92" ca="1" si="107">IF(AND($C92="S",$X92&gt;0),IF(ISBLANK($Y92),"RA",LEFT($Y92,2)),"")</f>
        <v>RA</v>
      </c>
      <c r="AA92" s="129">
        <f ca="1">IF($C92="S",IF($Z92="CP",$X92,IF($Z92="RA",(($X92)*QCI!$AA$3),0)),SomaAgrup)</f>
        <v>522.6</v>
      </c>
      <c r="AB92" s="130">
        <f ca="1">IF($C92="S",IF($Z92="OU",ROUND($X92,2),0),SomaAgrup)</f>
        <v>0</v>
      </c>
      <c r="AC92" s="131" t="str">
        <f ca="1">IF($N92="","",IF(ORÇAMENTO.Descricao="","DESCRIÇÃO",IF(AND($C92="S",ORÇAMENTO.Unidade=""),"UNIDADE",IF($X92&lt;0,"VALOR NEGATIVO",IF(OR(AND(TIPOORCAMENTO="Proposto",$AG92&lt;&gt;"",$AG92&gt;0,ORÇAMENTO.CustoUnitario&gt;$AG92),AND(TIPOORCAMENTO="LICITADO",ORÇAMENTO.PrecoUnitarioLicitado&gt;$AN92)),"ACIMA REF.","")))))</f>
        <v/>
      </c>
      <c r="AD92" t="str">
        <f ca="1">IF(C92&lt;=CRONO.NivelExibicao,MAX($AD$15:OFFSET(AD92,-1,0))+IF($C92&lt;&gt;1,1,MAX(1,COUNTIF(QCI!$A$13:$A$24,OFFSET($E92,-1,0)))),"")</f>
        <v/>
      </c>
      <c r="AE92" s="7" t="str">
        <f ca="1">IF(AND($C92="S",ORÇAMENTO.CodBarra&lt;&gt;""),IF(ORÇAMENTO.Fonte="",ORÇAMENTO.CodBarra,CONCATENATE(ORÇAMENTO.Fonte," ",ORÇAMENTO.CodBarra)))</f>
        <v>SINAPI 92000</v>
      </c>
      <c r="AF92" s="13">
        <f ca="1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11017</v>
      </c>
      <c r="AG92" s="498">
        <f ca="1">ROUND(IF(DESONERACAO="sim",REFERENCIA.Desonerado,REFERENCIA.NaoDesonerado),2)</f>
        <v>43.42</v>
      </c>
      <c r="AH92" s="499">
        <f ca="1">ROUND(IF(ISNUMBER(ORÇAMENTO.OpcaoBDI),ORÇAMENTO.OpcaoBDI,IF(LEFT(ORÇAMENTO.OpcaoBDI,3)="BDI",HLOOKUP(ORÇAMENTO.OpcaoBDI,$F$4:$H$5,2,FALSE),0)),15-11*$AF$9)</f>
        <v>0.20349999999999999</v>
      </c>
      <c r="AJ92" s="501">
        <v>10</v>
      </c>
      <c r="AL92" s="527"/>
      <c r="AM92" s="381">
        <f t="shared" ca="1" si="0"/>
        <v>522.6</v>
      </c>
      <c r="AN92" s="566">
        <f ca="1">ROUND(ORÇAMENTO.CustoUnitario*(1+$AH92),2)</f>
        <v>52.26</v>
      </c>
    </row>
    <row r="93" spans="1:40" ht="38.25" x14ac:dyDescent="0.2">
      <c r="A93" t="str">
        <f t="shared" si="1"/>
        <v>S</v>
      </c>
      <c r="B93">
        <f t="shared" ca="1" si="2"/>
        <v>2</v>
      </c>
      <c r="C93" t="str">
        <f t="shared" ca="1" si="3"/>
        <v>S</v>
      </c>
      <c r="D93">
        <f t="shared" ca="1" si="4"/>
        <v>0</v>
      </c>
      <c r="E93">
        <f ca="1">IF($C93=1,OFFSET(E93,-1,0)+MAX(1,COUNTIF(QCI!$A$13:$A$24,OFFSET(ORÇAMENTO!E93,-1,0))),OFFSET(E93,-1,0))</f>
        <v>6</v>
      </c>
      <c r="F93">
        <f t="shared" ca="1" si="5"/>
        <v>2</v>
      </c>
      <c r="G93">
        <f t="shared" ca="1" si="6"/>
        <v>0</v>
      </c>
      <c r="H93">
        <f t="shared" ca="1" si="7"/>
        <v>0</v>
      </c>
      <c r="I93">
        <f t="shared" ca="1" si="8"/>
        <v>9</v>
      </c>
      <c r="J93">
        <f ca="1">IF(OR($C93="S",$C93=0),0,MATCH(0,OFFSET($D93,1,$C93,ROW($C$165)-ROW($C93)),0))</f>
        <v>0</v>
      </c>
      <c r="K93">
        <f ca="1">IF(OR($C93="S",$C93=0),0,MATCH(OFFSET($D93,0,$C93)+IF($C93&lt;&gt;1,1,COUNTIF(QCI!$A$13:$A$24,ORÇAMENTO!E93)),OFFSET($D93,1,$C93,ROW($C$165)-ROW($C93)),0))</f>
        <v>0</v>
      </c>
      <c r="L93" s="116" t="str">
        <f t="shared" ca="1" si="9"/>
        <v>F</v>
      </c>
      <c r="M93" s="117" t="s">
        <v>199</v>
      </c>
      <c r="N93" s="118" t="str">
        <f t="shared" ca="1" si="10"/>
        <v>Serviço</v>
      </c>
      <c r="O93" s="119" t="str">
        <f t="shared" ca="1" si="11"/>
        <v>6.2.9.</v>
      </c>
      <c r="P93" s="120" t="s">
        <v>247</v>
      </c>
      <c r="Q93" s="121" t="s">
        <v>453</v>
      </c>
      <c r="R93" s="122" t="str">
        <f ca="1">IF($C93="S",REFERENCIA.Descricao,"(digite a descrição aqui)")</f>
        <v>INTERRUPTOR SIMPLES (1 MÓDULO) COM 1 TOMADA DE EMBUTIR 2P+T 10 A, INCLUINDO SUPORTE E PLACA - FORNECIMENTO E INSTALAÇÃO. AF_03/2023</v>
      </c>
      <c r="S93" s="123" t="str">
        <f ca="1">REFERENCIA.Unidade</f>
        <v>UN</v>
      </c>
      <c r="T93" s="124">
        <f ca="1">OFFSET(CÁLCULO!H$15,ROW($T93)-ROW(T$15),0)</f>
        <v>12</v>
      </c>
      <c r="U93" s="125">
        <f t="shared" ca="1" si="32"/>
        <v>70.69</v>
      </c>
      <c r="V93" s="126" t="s">
        <v>156</v>
      </c>
      <c r="W93" s="124">
        <f ca="1">IF($C93="S",ROUND(IF(TIPOORCAMENTO="Proposto",ORÇAMENTO.CustoUnitario*(1+$AH93),ORÇAMENTO.PrecoUnitarioLicitado),15-13*$AF$10),0)</f>
        <v>85.08</v>
      </c>
      <c r="X93" s="127">
        <f ca="1">IF($C93="S",IF(Import.TipoArredondamento&lt;&gt;"TransfereGOV",VTOTAL1,SUM(OFFSET(CÁLCULO!$AA$15,ROW($X93)-ROW($X$15),1):OFFSET(CÁLCULO!$AL$15,ROW($X93)-ROW($X$15),-1))),IF($C93=0,0,ROUND(SomaAgrup,15-13*$AF$11)))</f>
        <v>1020.96</v>
      </c>
      <c r="Y93" s="128" t="s">
        <v>245</v>
      </c>
      <c r="Z93" t="str">
        <f t="shared" ca="1" si="12"/>
        <v>RA</v>
      </c>
      <c r="AA93" s="129">
        <f ca="1">IF($C93="S",IF($Z93="CP",$X93,IF($Z93="RA",(($X93)*QCI!$AA$3),0)),SomaAgrup)</f>
        <v>1020.96</v>
      </c>
      <c r="AB93" s="130">
        <f t="shared" ca="1" si="13"/>
        <v>0</v>
      </c>
      <c r="AC93" s="131" t="str">
        <f ca="1">IF($N93="","",IF(ORÇAMENTO.Descricao="","DESCRIÇÃO",IF(AND($C93="S",ORÇAMENTO.Unidade=""),"UNIDADE",IF($X93&lt;0,"VALOR NEGATIVO",IF(OR(AND(TIPOORCAMENTO="Proposto",$AG93&lt;&gt;"",$AG93&gt;0,ORÇAMENTO.CustoUnitario&gt;$AG93),AND(TIPOORCAMENTO="LICITADO",ORÇAMENTO.PrecoUnitarioLicitado&gt;$AN93)),"ACIMA REF.","")))))</f>
        <v/>
      </c>
      <c r="AD93" t="str">
        <f ca="1">IF(C93&lt;=CRONO.NivelExibicao,MAX($AD$15:OFFSET(AD93,-1,0))+IF($C93&lt;&gt;1,1,MAX(1,COUNTIF(QCI!$A$13:$A$24,OFFSET($E93,-1,0)))),"")</f>
        <v/>
      </c>
      <c r="AE93" s="7" t="str">
        <f ca="1">IF(AND($C93="S",ORÇAMENTO.CodBarra&lt;&gt;""),IF(ORÇAMENTO.Fonte="",ORÇAMENTO.CodBarra,CONCATENATE(ORÇAMENTO.Fonte," ",ORÇAMENTO.CodBarra)))</f>
        <v>SINAPI 92023</v>
      </c>
      <c r="AF93" s="13">
        <f ca="1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10967</v>
      </c>
      <c r="AG93" s="498">
        <f ca="1">ROUND(IF(DESONERACAO="sim",REFERENCIA.Desonerado,REFERENCIA.NaoDesonerado),2)</f>
        <v>70.69</v>
      </c>
      <c r="AH93" s="499">
        <f t="shared" ca="1" si="14"/>
        <v>0.20349999999999999</v>
      </c>
      <c r="AJ93" s="501">
        <v>12</v>
      </c>
      <c r="AL93" s="527"/>
      <c r="AM93" s="381">
        <f t="shared" ca="1" si="0"/>
        <v>1020.96</v>
      </c>
      <c r="AN93" s="566">
        <f t="shared" ca="1" si="15"/>
        <v>85.08</v>
      </c>
    </row>
    <row r="94" spans="1:40" ht="25.5" x14ac:dyDescent="0.2">
      <c r="A94" t="str">
        <f t="shared" si="1"/>
        <v>S</v>
      </c>
      <c r="B94">
        <f t="shared" ca="1" si="2"/>
        <v>2</v>
      </c>
      <c r="C94" t="str">
        <f t="shared" ca="1" si="3"/>
        <v>S</v>
      </c>
      <c r="D94">
        <f t="shared" ca="1" si="4"/>
        <v>0</v>
      </c>
      <c r="E94">
        <f ca="1">IF($C94=1,OFFSET(E94,-1,0)+MAX(1,COUNTIF(QCI!$A$13:$A$24,OFFSET(ORÇAMENTO!E94,-1,0))),OFFSET(E94,-1,0))</f>
        <v>6</v>
      </c>
      <c r="F94">
        <f t="shared" ca="1" si="5"/>
        <v>2</v>
      </c>
      <c r="G94">
        <f t="shared" ca="1" si="6"/>
        <v>0</v>
      </c>
      <c r="H94">
        <f t="shared" ca="1" si="7"/>
        <v>0</v>
      </c>
      <c r="I94">
        <f t="shared" ca="1" si="8"/>
        <v>10</v>
      </c>
      <c r="J94">
        <f ca="1">IF(OR($C94="S",$C94=0),0,MATCH(0,OFFSET($D94,1,$C94,ROW($C$165)-ROW($C94)),0))</f>
        <v>0</v>
      </c>
      <c r="K94">
        <f ca="1">IF(OR($C94="S",$C94=0),0,MATCH(OFFSET($D94,0,$C94)+IF($C94&lt;&gt;1,1,COUNTIF(QCI!$A$13:$A$24,ORÇAMENTO!E94)),OFFSET($D94,1,$C94,ROW($C$165)-ROW($C94)),0))</f>
        <v>0</v>
      </c>
      <c r="L94" s="116" t="str">
        <f t="shared" ca="1" si="9"/>
        <v>F</v>
      </c>
      <c r="M94" s="117" t="s">
        <v>199</v>
      </c>
      <c r="N94" s="118" t="str">
        <f t="shared" ca="1" si="10"/>
        <v>Serviço</v>
      </c>
      <c r="O94" s="119" t="str">
        <f t="shared" ca="1" si="11"/>
        <v>6.2.10.</v>
      </c>
      <c r="P94" s="120" t="s">
        <v>449</v>
      </c>
      <c r="Q94" s="121" t="s">
        <v>530</v>
      </c>
      <c r="R94" s="122" t="str">
        <f ca="1">IF($C94="S",REFERENCIA.Descricao,"(digite a descrição aqui)")</f>
        <v>TOMADA 2P+T 20A 250V, CONJUNTO MONTADO PARA EMBUTIR 4" X 2" (PLACA + SUPORTE + MODULO)</v>
      </c>
      <c r="S94" s="123" t="str">
        <f ca="1">REFERENCIA.Unidade</f>
        <v>UN</v>
      </c>
      <c r="T94" s="124">
        <f ca="1">OFFSET(CÁLCULO!H$15,ROW($T94)-ROW(T$15),0)</f>
        <v>8</v>
      </c>
      <c r="U94" s="125">
        <f t="shared" ca="1" si="32"/>
        <v>18.22</v>
      </c>
      <c r="V94" s="126" t="s">
        <v>156</v>
      </c>
      <c r="W94" s="124">
        <f ca="1">IF($C94="S",ROUND(IF(TIPOORCAMENTO="Proposto",ORÇAMENTO.CustoUnitario*(1+$AH94),ORÇAMENTO.PrecoUnitarioLicitado),15-13*$AF$10),0)</f>
        <v>21.93</v>
      </c>
      <c r="X94" s="127">
        <f ca="1">IF($C94="S",IF(Import.TipoArredondamento&lt;&gt;"TransfereGOV",VTOTAL1,SUM(OFFSET(CÁLCULO!$AA$15,ROW($X94)-ROW($X$15),1):OFFSET(CÁLCULO!$AL$15,ROW($X94)-ROW($X$15),-1))),IF($C94=0,0,ROUND(SomaAgrup,15-13*$AF$11)))</f>
        <v>175.44</v>
      </c>
      <c r="Y94" s="128" t="s">
        <v>245</v>
      </c>
      <c r="Z94" t="str">
        <f t="shared" ca="1" si="12"/>
        <v>RA</v>
      </c>
      <c r="AA94" s="129">
        <f ca="1">IF($C94="S",IF($Z94="CP",$X94,IF($Z94="RA",(($X94)*QCI!$AA$3),0)),SomaAgrup)</f>
        <v>175.44</v>
      </c>
      <c r="AB94" s="130">
        <f t="shared" ca="1" si="13"/>
        <v>0</v>
      </c>
      <c r="AC94" s="131" t="str">
        <f ca="1">IF($N94="","",IF(ORÇAMENTO.Descricao="","DESCRIÇÃO",IF(AND($C94="S",ORÇAMENTO.Unidade=""),"UNIDADE",IF($X94&lt;0,"VALOR NEGATIVO",IF(OR(AND(TIPOORCAMENTO="Proposto",$AG94&lt;&gt;"",$AG94&gt;0,ORÇAMENTO.CustoUnitario&gt;$AG94),AND(TIPOORCAMENTO="LICITADO",ORÇAMENTO.PrecoUnitarioLicitado&gt;$AN94)),"ACIMA REF.","")))))</f>
        <v/>
      </c>
      <c r="AD94" t="str">
        <f ca="1">IF(C94&lt;=CRONO.NivelExibicao,MAX($AD$15:OFFSET(AD94,-1,0))+IF($C94&lt;&gt;1,1,MAX(1,COUNTIF(QCI!$A$13:$A$24,OFFSET($E94,-1,0)))),"")</f>
        <v/>
      </c>
      <c r="AE94" s="7" t="str">
        <f ca="1">IF(AND($C94="S",ORÇAMENTO.CodBarra&lt;&gt;""),IF(ORÇAMENTO.Fonte="",ORÇAMENTO.CodBarra,CONCATENATE(ORÇAMENTO.Fonte," ",ORÇAMENTO.CodBarra)))</f>
        <v>SINAPI-I 38075</v>
      </c>
      <c r="AF94" s="13">
        <f ca="1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4343</v>
      </c>
      <c r="AG94" s="498">
        <f ca="1">ROUND(IF(DESONERACAO="sim",REFERENCIA.Desonerado,REFERENCIA.NaoDesonerado),2)</f>
        <v>18.22</v>
      </c>
      <c r="AH94" s="499">
        <f t="shared" ca="1" si="14"/>
        <v>0.20349999999999999</v>
      </c>
      <c r="AJ94" s="501">
        <v>8</v>
      </c>
      <c r="AL94" s="527"/>
      <c r="AM94" s="381">
        <f t="shared" ca="1" si="0"/>
        <v>175.44</v>
      </c>
      <c r="AN94" s="566">
        <f t="shared" ca="1" si="15"/>
        <v>21.93</v>
      </c>
    </row>
    <row r="95" spans="1:40" ht="25.5" x14ac:dyDescent="0.2">
      <c r="A95" t="str">
        <f t="shared" si="1"/>
        <v>S</v>
      </c>
      <c r="B95">
        <f t="shared" ca="1" si="2"/>
        <v>2</v>
      </c>
      <c r="C95" t="str">
        <f t="shared" ca="1" si="3"/>
        <v>S</v>
      </c>
      <c r="D95">
        <f t="shared" ca="1" si="4"/>
        <v>0</v>
      </c>
      <c r="E95">
        <f ca="1">IF($C95=1,OFFSET(E95,-1,0)+MAX(1,COUNTIF(QCI!$A$13:$A$24,OFFSET(ORÇAMENTO!E95,-1,0))),OFFSET(E95,-1,0))</f>
        <v>6</v>
      </c>
      <c r="F95">
        <f t="shared" ca="1" si="5"/>
        <v>2</v>
      </c>
      <c r="G95">
        <f t="shared" ca="1" si="6"/>
        <v>0</v>
      </c>
      <c r="H95">
        <f t="shared" ca="1" si="7"/>
        <v>0</v>
      </c>
      <c r="I95">
        <f t="shared" ca="1" si="8"/>
        <v>11</v>
      </c>
      <c r="J95">
        <f ca="1">IF(OR($C95="S",$C95=0),0,MATCH(0,OFFSET($D95,1,$C95,ROW($C$165)-ROW($C95)),0))</f>
        <v>0</v>
      </c>
      <c r="K95">
        <f ca="1">IF(OR($C95="S",$C95=0),0,MATCH(OFFSET($D95,0,$C95)+IF($C95&lt;&gt;1,1,COUNTIF(QCI!$A$13:$A$24,ORÇAMENTO!E95)),OFFSET($D95,1,$C95,ROW($C$165)-ROW($C95)),0))</f>
        <v>0</v>
      </c>
      <c r="L95" s="116" t="str">
        <f t="shared" ca="1" si="9"/>
        <v>F</v>
      </c>
      <c r="M95" s="117" t="s">
        <v>199</v>
      </c>
      <c r="N95" s="118" t="str">
        <f t="shared" ca="1" si="10"/>
        <v>Serviço</v>
      </c>
      <c r="O95" s="119" t="str">
        <f t="shared" ca="1" si="11"/>
        <v>6.2.11.</v>
      </c>
      <c r="P95" s="120" t="s">
        <v>449</v>
      </c>
      <c r="Q95" s="121" t="s">
        <v>454</v>
      </c>
      <c r="R95" s="122" t="str">
        <f ca="1">IF($C95="S",REFERENCIA.Descricao,"(digite a descrição aqui)")</f>
        <v>FIO DE COBRE, SOLIDO, CLASSE 1, ISOLACAO EM PVC/A, ANTICHAMA BWF-B, 450/750V, SECAO NOMINAL 1,5 MM2</v>
      </c>
      <c r="S95" s="123" t="str">
        <f ca="1">REFERENCIA.Unidade</f>
        <v>M</v>
      </c>
      <c r="T95" s="124">
        <f ca="1">OFFSET(CÁLCULO!H$15,ROW($T95)-ROW(T$15),0)</f>
        <v>63</v>
      </c>
      <c r="U95" s="125">
        <f t="shared" ca="1" si="32"/>
        <v>1.88</v>
      </c>
      <c r="V95" s="126" t="s">
        <v>156</v>
      </c>
      <c r="W95" s="124">
        <f ca="1">IF($C95="S",ROUND(IF(TIPOORCAMENTO="Proposto",ORÇAMENTO.CustoUnitario*(1+$AH95),ORÇAMENTO.PrecoUnitarioLicitado),15-13*$AF$10),0)</f>
        <v>2.2599999999999998</v>
      </c>
      <c r="X95" s="127">
        <f ca="1">IF($C95="S",IF(Import.TipoArredondamento&lt;&gt;"TransfereGOV",VTOTAL1,SUM(OFFSET(CÁLCULO!$AA$15,ROW($X95)-ROW($X$15),1):OFFSET(CÁLCULO!$AL$15,ROW($X95)-ROW($X$15),-1))),IF($C95=0,0,ROUND(SomaAgrup,15-13*$AF$11)))</f>
        <v>142.38</v>
      </c>
      <c r="Y95" s="128" t="s">
        <v>245</v>
      </c>
      <c r="Z95" t="str">
        <f t="shared" ca="1" si="12"/>
        <v>RA</v>
      </c>
      <c r="AA95" s="129">
        <f ca="1">IF($C95="S",IF($Z95="CP",$X95,IF($Z95="RA",(($X95)*QCI!$AA$3),0)),SomaAgrup)</f>
        <v>142.38</v>
      </c>
      <c r="AB95" s="130">
        <f t="shared" ca="1" si="13"/>
        <v>0</v>
      </c>
      <c r="AC95" s="131" t="str">
        <f ca="1">IF($N95="","",IF(ORÇAMENTO.Descricao="","DESCRIÇÃO",IF(AND($C95="S",ORÇAMENTO.Unidade=""),"UNIDADE",IF($X95&lt;0,"VALOR NEGATIVO",IF(OR(AND(TIPOORCAMENTO="Proposto",$AG95&lt;&gt;"",$AG95&gt;0,ORÇAMENTO.CustoUnitario&gt;$AG95),AND(TIPOORCAMENTO="LICITADO",ORÇAMENTO.PrecoUnitarioLicitado&gt;$AN95)),"ACIMA REF.","")))))</f>
        <v/>
      </c>
      <c r="AD95" t="str">
        <f ca="1">IF(C95&lt;=CRONO.NivelExibicao,MAX($AD$15:OFFSET(AD95,-1,0))+IF($C95&lt;&gt;1,1,MAX(1,COUNTIF(QCI!$A$13:$A$24,OFFSET($E95,-1,0)))),"")</f>
        <v/>
      </c>
      <c r="AE95" s="7" t="str">
        <f ca="1">IF(AND($C95="S",ORÇAMENTO.CodBarra&lt;&gt;""),IF(ORÇAMENTO.Fonte="",ORÇAMENTO.CodBarra,CONCATENATE(ORÇAMENTO.Fonte," ",ORÇAMENTO.CodBarra)))</f>
        <v>SINAPI-I 938</v>
      </c>
      <c r="AF95" s="13">
        <f ca="1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2101</v>
      </c>
      <c r="AG95" s="498">
        <f ca="1">ROUND(IF(DESONERACAO="sim",REFERENCIA.Desonerado,REFERENCIA.NaoDesonerado),2)</f>
        <v>1.88</v>
      </c>
      <c r="AH95" s="499">
        <f t="shared" ca="1" si="14"/>
        <v>0.20349999999999999</v>
      </c>
      <c r="AJ95" s="501">
        <v>63</v>
      </c>
      <c r="AL95" s="527"/>
      <c r="AM95" s="381">
        <f t="shared" ca="1" si="0"/>
        <v>142.38</v>
      </c>
      <c r="AN95" s="566">
        <f t="shared" ca="1" si="15"/>
        <v>2.2599999999999998</v>
      </c>
    </row>
    <row r="96" spans="1:40" ht="25.5" x14ac:dyDescent="0.2">
      <c r="A96" t="str">
        <f t="shared" si="1"/>
        <v>S</v>
      </c>
      <c r="B96">
        <f t="shared" ca="1" si="2"/>
        <v>2</v>
      </c>
      <c r="C96" t="str">
        <f t="shared" ca="1" si="3"/>
        <v>S</v>
      </c>
      <c r="D96">
        <f t="shared" ca="1" si="4"/>
        <v>0</v>
      </c>
      <c r="E96">
        <f ca="1">IF($C96=1,OFFSET(E96,-1,0)+MAX(1,COUNTIF(QCI!$A$13:$A$24,OFFSET(ORÇAMENTO!E96,-1,0))),OFFSET(E96,-1,0))</f>
        <v>6</v>
      </c>
      <c r="F96">
        <f t="shared" ca="1" si="5"/>
        <v>2</v>
      </c>
      <c r="G96">
        <f t="shared" ca="1" si="6"/>
        <v>0</v>
      </c>
      <c r="H96">
        <f t="shared" ca="1" si="7"/>
        <v>0</v>
      </c>
      <c r="I96">
        <f t="shared" ca="1" si="8"/>
        <v>12</v>
      </c>
      <c r="J96">
        <f ca="1">IF(OR($C96="S",$C96=0),0,MATCH(0,OFFSET($D96,1,$C96,ROW($C$165)-ROW($C96)),0))</f>
        <v>0</v>
      </c>
      <c r="K96">
        <f ca="1">IF(OR($C96="S",$C96=0),0,MATCH(OFFSET($D96,0,$C96)+IF($C96&lt;&gt;1,1,COUNTIF(QCI!$A$13:$A$24,ORÇAMENTO!E96)),OFFSET($D96,1,$C96,ROW($C$165)-ROW($C96)),0))</f>
        <v>0</v>
      </c>
      <c r="L96" s="116" t="str">
        <f t="shared" ca="1" si="9"/>
        <v>F</v>
      </c>
      <c r="M96" s="117" t="s">
        <v>199</v>
      </c>
      <c r="N96" s="118" t="str">
        <f t="shared" ca="1" si="10"/>
        <v>Serviço</v>
      </c>
      <c r="O96" s="119" t="str">
        <f t="shared" ca="1" si="11"/>
        <v>6.2.12.</v>
      </c>
      <c r="P96" s="120" t="s">
        <v>449</v>
      </c>
      <c r="Q96" s="121" t="s">
        <v>455</v>
      </c>
      <c r="R96" s="122" t="str">
        <f ca="1">IF($C96="S",REFERENCIA.Descricao,"(digite a descrição aqui)")</f>
        <v>FIO DE COBRE, SOLIDO, CLASSE 1, ISOLACAO EM PVC/A, ANTICHAMA BWF-B, 450/750V, SECAO NOMINAL 2,5 MM2</v>
      </c>
      <c r="S96" s="123" t="str">
        <f ca="1">REFERENCIA.Unidade</f>
        <v>M</v>
      </c>
      <c r="T96" s="124">
        <f ca="1">OFFSET(CÁLCULO!H$15,ROW($T96)-ROW(T$15),0)</f>
        <v>460</v>
      </c>
      <c r="U96" s="125">
        <f t="shared" ca="1" si="32"/>
        <v>3.05</v>
      </c>
      <c r="V96" s="126" t="s">
        <v>156</v>
      </c>
      <c r="W96" s="124">
        <f ca="1">IF($C96="S",ROUND(IF(TIPOORCAMENTO="Proposto",ORÇAMENTO.CustoUnitario*(1+$AH96),ORÇAMENTO.PrecoUnitarioLicitado),15-13*$AF$10),0)</f>
        <v>3.67</v>
      </c>
      <c r="X96" s="127">
        <f ca="1">IF($C96="S",IF(Import.TipoArredondamento&lt;&gt;"TransfereGOV",VTOTAL1,SUM(OFFSET(CÁLCULO!$AA$15,ROW($X96)-ROW($X$15),1):OFFSET(CÁLCULO!$AL$15,ROW($X96)-ROW($X$15),-1))),IF($C96=0,0,ROUND(SomaAgrup,15-13*$AF$11)))</f>
        <v>1688.2</v>
      </c>
      <c r="Y96" s="128" t="s">
        <v>245</v>
      </c>
      <c r="Z96" t="str">
        <f t="shared" ca="1" si="12"/>
        <v>RA</v>
      </c>
      <c r="AA96" s="129">
        <f ca="1">IF($C96="S",IF($Z96="CP",$X96,IF($Z96="RA",(($X96)*QCI!$AA$3),0)),SomaAgrup)</f>
        <v>1688.2</v>
      </c>
      <c r="AB96" s="130">
        <f t="shared" ca="1" si="13"/>
        <v>0</v>
      </c>
      <c r="AC96" s="131" t="str">
        <f ca="1">IF($N96="","",IF(ORÇAMENTO.Descricao="","DESCRIÇÃO",IF(AND($C96="S",ORÇAMENTO.Unidade=""),"UNIDADE",IF($X96&lt;0,"VALOR NEGATIVO",IF(OR(AND(TIPOORCAMENTO="Proposto",$AG96&lt;&gt;"",$AG96&gt;0,ORÇAMENTO.CustoUnitario&gt;$AG96),AND(TIPOORCAMENTO="LICITADO",ORÇAMENTO.PrecoUnitarioLicitado&gt;$AN96)),"ACIMA REF.","")))))</f>
        <v/>
      </c>
      <c r="AD96" t="str">
        <f ca="1">IF(C96&lt;=CRONO.NivelExibicao,MAX($AD$15:OFFSET(AD96,-1,0))+IF($C96&lt;&gt;1,1,MAX(1,COUNTIF(QCI!$A$13:$A$24,OFFSET($E96,-1,0)))),"")</f>
        <v/>
      </c>
      <c r="AE96" s="7" t="str">
        <f ca="1">IF(AND($C96="S",ORÇAMENTO.CodBarra&lt;&gt;""),IF(ORÇAMENTO.Fonte="",ORÇAMENTO.CodBarra,CONCATENATE(ORÇAMENTO.Fonte," ",ORÇAMENTO.CodBarra)))</f>
        <v>SINAPI-I 939</v>
      </c>
      <c r="AF96" s="13">
        <f ca="1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2103</v>
      </c>
      <c r="AG96" s="498">
        <f ca="1">ROUND(IF(DESONERACAO="sim",REFERENCIA.Desonerado,REFERENCIA.NaoDesonerado),2)</f>
        <v>3.05</v>
      </c>
      <c r="AH96" s="499">
        <f t="shared" ca="1" si="14"/>
        <v>0.20349999999999999</v>
      </c>
      <c r="AJ96" s="501">
        <v>460</v>
      </c>
      <c r="AL96" s="527"/>
      <c r="AM96" s="381">
        <f t="shared" ca="1" si="0"/>
        <v>1688.2</v>
      </c>
      <c r="AN96" s="566">
        <f t="shared" ca="1" si="15"/>
        <v>3.67</v>
      </c>
    </row>
    <row r="97" spans="1:40" ht="25.5" x14ac:dyDescent="0.2">
      <c r="A97" t="str">
        <f>CHOOSE(1+LOG(1+2*(ORÇAMENTO.Nivel="Meta")+4*(ORÇAMENTO.Nivel="Nível 2")+8*(ORÇAMENTO.Nivel="Nível 3")+16*(ORÇAMENTO.Nivel="Nível 4")+32*(ORÇAMENTO.Nivel="Serviço"),2),0,1,2,3,4,"S")</f>
        <v>S</v>
      </c>
      <c r="B97">
        <f ca="1">IF(OR(C97="s",C97=0),OFFSET(B97,-1,0),C97)</f>
        <v>2</v>
      </c>
      <c r="C97" t="str">
        <f ca="1">IF(OFFSET(C97,-1,0)="L",1,IF(OFFSET(C97,-1,0)=1,2,IF(OR(A97="s",A97=0),"S",IF(AND(OFFSET(C97,-1,0)=2,A97=4),3,IF(AND(OR(OFFSET(C97,-1,0)="s",OFFSET(C97,-1,0)=0),A97&lt;&gt;"s",A97&gt;OFFSET(B97,-1,0)),OFFSET(B97,-1,0),A97)))))</f>
        <v>S</v>
      </c>
      <c r="D97">
        <f ca="1">IF(OR(C97="S",C97=0),0,IF(ISERROR(K97),J97,SMALL(J97:K97,1)))</f>
        <v>0</v>
      </c>
      <c r="E97">
        <f ca="1">IF($C97=1,OFFSET(E97,-1,0)+MAX(1,COUNTIF(QCI!$A$13:$A$24,OFFSET(ORÇAMENTO!E97,-1,0))),OFFSET(E97,-1,0))</f>
        <v>6</v>
      </c>
      <c r="F97">
        <f ca="1">IF($C97=1,0,IF($C97=2,OFFSET(F97,-1,0)+1,OFFSET(F97,-1,0)))</f>
        <v>2</v>
      </c>
      <c r="G97">
        <f ca="1">IF(AND($C97&lt;=2,$C97&lt;&gt;0),0,IF($C97=3,OFFSET(G97,-1,0)+1,OFFSET(G97,-1,0)))</f>
        <v>0</v>
      </c>
      <c r="H97">
        <f ca="1">IF(AND($C97&lt;=3,$C97&lt;&gt;0),0,IF($C97=4,OFFSET(H97,-1,0)+1,OFFSET(H97,-1,0)))</f>
        <v>0</v>
      </c>
      <c r="I97">
        <f ca="1">IF(AND($C97&lt;=4,$C97&lt;&gt;0),0,IF(AND($C97="S",$X97&gt;0),OFFSET(I97,-1,0)+1,OFFSET(I97,-1,0)))</f>
        <v>13</v>
      </c>
      <c r="J97">
        <f ca="1">IF(OR($C97="S",$C97=0),0,MATCH(0,OFFSET($D97,1,$C97,ROW($C$165)-ROW($C97)),0))</f>
        <v>0</v>
      </c>
      <c r="K97">
        <f ca="1">IF(OR($C97="S",$C97=0),0,MATCH(OFFSET($D97,0,$C97)+IF($C97&lt;&gt;1,1,COUNTIF(QCI!$A$13:$A$24,ORÇAMENTO!E97)),OFFSET($D97,1,$C97,ROW($C$165)-ROW($C97)),0))</f>
        <v>0</v>
      </c>
      <c r="L97" s="116" t="str">
        <f ca="1">IF(OR($X97&gt;0,$C97=1,$C97=2,$C97=3,$C97=4),"F","")</f>
        <v>F</v>
      </c>
      <c r="M97" s="117" t="s">
        <v>199</v>
      </c>
      <c r="N97" s="118" t="str">
        <f ca="1">CHOOSE(1+LOG(1+2*(C97=1)+4*(C97=2)+8*(C97=3)+16*(C97=4)+32*(C97="S"),2),"","Meta","Nível 2","Nível 3","Nível 4","Serviço")</f>
        <v>Serviço</v>
      </c>
      <c r="O97" s="119" t="str">
        <f ca="1">IF(OR($C97=0,$L97=""),"-",CONCATENATE(E97&amp;".",IF(AND($A$5&gt;=2,$C97&gt;=2),F97&amp;".",""),IF(AND($A$5&gt;=3,$C97&gt;=3),G97&amp;".",""),IF(AND($A$5&gt;=4,$C97&gt;=4),H97&amp;".",""),IF($C97="S",I97&amp;".","")))</f>
        <v>6.2.13.</v>
      </c>
      <c r="P97" s="120" t="s">
        <v>449</v>
      </c>
      <c r="Q97" s="121" t="s">
        <v>529</v>
      </c>
      <c r="R97" s="122" t="str">
        <f ca="1">IF($C97="S",REFERENCIA.Descricao,"(digite a descrição aqui)")</f>
        <v>FIO DE COBRE, SOLIDO, CLASSE 1, ISOLACAO EM PVC/A, ANTICHAMA BWF-B, 450/750V, SECAO NOMINAL 10 MM2</v>
      </c>
      <c r="S97" s="123" t="str">
        <f ca="1">REFERENCIA.Unidade</f>
        <v>M</v>
      </c>
      <c r="T97" s="124">
        <f ca="1">OFFSET(CÁLCULO!H$15,ROW($T97)-ROW(T$15),0)</f>
        <v>60</v>
      </c>
      <c r="U97" s="125">
        <f t="shared" ca="1" si="32"/>
        <v>10.99</v>
      </c>
      <c r="V97" s="126" t="s">
        <v>156</v>
      </c>
      <c r="W97" s="124">
        <f ca="1">IF($C97="S",ROUND(IF(TIPOORCAMENTO="Proposto",ORÇAMENTO.CustoUnitario*(1+$AH97),ORÇAMENTO.PrecoUnitarioLicitado),15-13*$AF$10),0)</f>
        <v>13.23</v>
      </c>
      <c r="X97" s="127">
        <f ca="1">IF($C97="S",IF(Import.TipoArredondamento&lt;&gt;"TransfereGOV",VTOTAL1,SUM(OFFSET(CÁLCULO!$AA$15,ROW($X97)-ROW($X$15),1):OFFSET(CÁLCULO!$AL$15,ROW($X97)-ROW($X$15),-1))),IF($C97=0,0,ROUND(SomaAgrup,15-13*$AF$11)))</f>
        <v>793.8</v>
      </c>
      <c r="Y97" s="128" t="s">
        <v>245</v>
      </c>
      <c r="Z97" t="str">
        <f ca="1">IF(AND($C97="S",$X97&gt;0),IF(ISBLANK($Y97),"RA",LEFT($Y97,2)),"")</f>
        <v>RA</v>
      </c>
      <c r="AA97" s="129">
        <f ca="1">IF($C97="S",IF($Z97="CP",$X97,IF($Z97="RA",(($X97)*QCI!$AA$3),0)),SomaAgrup)</f>
        <v>793.8</v>
      </c>
      <c r="AB97" s="130">
        <f ca="1">IF($C97="S",IF($Z97="OU",ROUND($X97,2),0),SomaAgrup)</f>
        <v>0</v>
      </c>
      <c r="AC97" s="131" t="str">
        <f ca="1">IF($N97="","",IF(ORÇAMENTO.Descricao="","DESCRIÇÃO",IF(AND($C97="S",ORÇAMENTO.Unidade=""),"UNIDADE",IF($X97&lt;0,"VALOR NEGATIVO",IF(OR(AND(TIPOORCAMENTO="Proposto",$AG97&lt;&gt;"",$AG97&gt;0,ORÇAMENTO.CustoUnitario&gt;$AG97),AND(TIPOORCAMENTO="LICITADO",ORÇAMENTO.PrecoUnitarioLicitado&gt;$AN97)),"ACIMA REF.","")))))</f>
        <v/>
      </c>
      <c r="AD97" t="str">
        <f ca="1">IF(C97&lt;=CRONO.NivelExibicao,MAX($AD$15:OFFSET(AD97,-1,0))+IF($C97&lt;&gt;1,1,MAX(1,COUNTIF(QCI!$A$13:$A$24,OFFSET($E97,-1,0)))),"")</f>
        <v/>
      </c>
      <c r="AE97" s="7" t="str">
        <f ca="1">IF(AND($C97="S",ORÇAMENTO.CodBarra&lt;&gt;""),IF(ORÇAMENTO.Fonte="",ORÇAMENTO.CodBarra,CONCATENATE(ORÇAMENTO.Fonte," ",ORÇAMENTO.CodBarra)))</f>
        <v>SINAPI-I 937</v>
      </c>
      <c r="AF97" s="13">
        <f ca="1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2102</v>
      </c>
      <c r="AG97" s="498">
        <f ca="1">ROUND(IF(DESONERACAO="sim",REFERENCIA.Desonerado,REFERENCIA.NaoDesonerado),2)</f>
        <v>10.99</v>
      </c>
      <c r="AH97" s="499">
        <f ca="1">ROUND(IF(ISNUMBER(ORÇAMENTO.OpcaoBDI),ORÇAMENTO.OpcaoBDI,IF(LEFT(ORÇAMENTO.OpcaoBDI,3)="BDI",HLOOKUP(ORÇAMENTO.OpcaoBDI,$F$4:$H$5,2,FALSE),0)),15-11*$AF$9)</f>
        <v>0.20349999999999999</v>
      </c>
      <c r="AJ97" s="501">
        <v>60</v>
      </c>
      <c r="AL97" s="527"/>
      <c r="AM97" s="381">
        <f t="shared" ca="1" si="0"/>
        <v>793.8</v>
      </c>
      <c r="AN97" s="566">
        <f ca="1">ROUND(ORÇAMENTO.CustoUnitario*(1+$AH97),2)</f>
        <v>13.23</v>
      </c>
    </row>
    <row r="98" spans="1:40" x14ac:dyDescent="0.2">
      <c r="A98">
        <f t="shared" si="1"/>
        <v>2</v>
      </c>
      <c r="B98">
        <f t="shared" ca="1" si="2"/>
        <v>2</v>
      </c>
      <c r="C98">
        <f t="shared" ca="1" si="3"/>
        <v>2</v>
      </c>
      <c r="D98">
        <f t="shared" ca="1" si="4"/>
        <v>18</v>
      </c>
      <c r="E98">
        <f ca="1">IF($C98=1,OFFSET(E98,-1,0)+MAX(1,COUNTIF(QCI!$A$13:$A$24,OFFSET(ORÇAMENTO!E98,-1,0))),OFFSET(E98,-1,0))</f>
        <v>6</v>
      </c>
      <c r="F98">
        <f t="shared" ca="1" si="5"/>
        <v>3</v>
      </c>
      <c r="G98">
        <f t="shared" ca="1" si="6"/>
        <v>0</v>
      </c>
      <c r="H98">
        <f t="shared" ca="1" si="7"/>
        <v>0</v>
      </c>
      <c r="I98">
        <f t="shared" ca="1" si="8"/>
        <v>0</v>
      </c>
      <c r="J98">
        <f ca="1">IF(OR($C98="S",$C98=0),0,MATCH(0,OFFSET($D98,1,$C98,ROW($C$165)-ROW($C98)),0))</f>
        <v>18</v>
      </c>
      <c r="K98" t="e">
        <f ca="1">IF(OR($C98="S",$C98=0),0,MATCH(OFFSET($D98,0,$C98)+IF($C98&lt;&gt;1,1,COUNTIF(QCI!$A$13:$A$24,ORÇAMENTO!E98)),OFFSET($D98,1,$C98,ROW($C$165)-ROW($C98)),0))</f>
        <v>#N/A</v>
      </c>
      <c r="L98" s="116" t="str">
        <f t="shared" ca="1" si="9"/>
        <v>F</v>
      </c>
      <c r="M98" s="117" t="s">
        <v>196</v>
      </c>
      <c r="N98" s="118" t="str">
        <f t="shared" ca="1" si="10"/>
        <v>Nível 2</v>
      </c>
      <c r="O98" s="119" t="str">
        <f t="shared" ca="1" si="11"/>
        <v>6.3.</v>
      </c>
      <c r="P98" s="120" t="s">
        <v>247</v>
      </c>
      <c r="Q98" s="121"/>
      <c r="R98" s="122" t="s">
        <v>495</v>
      </c>
      <c r="S98" s="123" t="str">
        <f ca="1">REFERENCIA.Unidade</f>
        <v>-</v>
      </c>
      <c r="T98" s="124">
        <f ca="1">OFFSET(CÁLCULO!H$15,ROW($T98)-ROW(T$15),0)</f>
        <v>0</v>
      </c>
      <c r="U98" s="125">
        <f t="shared" ca="1" si="32"/>
        <v>0</v>
      </c>
      <c r="V98" s="126" t="s">
        <v>156</v>
      </c>
      <c r="W98" s="124">
        <f ca="1">IF($C98="S",ROUND(IF(TIPOORCAMENTO="Proposto",ORÇAMENTO.CustoUnitario*(1+$AH98),ORÇAMENTO.PrecoUnitarioLicitado),15-13*$AF$10),0)</f>
        <v>0</v>
      </c>
      <c r="X98" s="127">
        <f ca="1">IF($C98="S",IF(Import.TipoArredondamento&lt;&gt;"TransfereGOV",VTOTAL1,SUM(OFFSET(CÁLCULO!$AA$15,ROW($X98)-ROW($X$15),1):OFFSET(CÁLCULO!$AL$15,ROW($X98)-ROW($X$15),-1))),IF($C98=0,0,ROUND(SomaAgrup,15-13*$AF$11)))</f>
        <v>16478.37</v>
      </c>
      <c r="Y98" s="128" t="s">
        <v>245</v>
      </c>
      <c r="Z98" t="str">
        <f t="shared" ca="1" si="12"/>
        <v/>
      </c>
      <c r="AA98" s="129">
        <f ca="1">IF($C98="S",IF($Z98="CP",$X98,IF($Z98="RA",(($X98)*QCI!$AA$3),0)),SomaAgrup)</f>
        <v>16478.370000000003</v>
      </c>
      <c r="AB98" s="130">
        <f t="shared" ca="1" si="13"/>
        <v>0</v>
      </c>
      <c r="AC98" s="131" t="str">
        <f ca="1">IF($N98="","",IF(ORÇAMENTO.Descricao="","DESCRIÇÃO",IF(AND($C98="S",ORÇAMENTO.Unidade=""),"UNIDADE",IF($X98&lt;0,"VALOR NEGATIVO",IF(OR(AND(TIPOORCAMENTO="Proposto",$AG98&lt;&gt;"",$AG98&gt;0,ORÇAMENTO.CustoUnitario&gt;$AG98),AND(TIPOORCAMENTO="LICITADO",ORÇAMENTO.PrecoUnitarioLicitado&gt;$AN98)),"ACIMA REF.","")))))</f>
        <v/>
      </c>
      <c r="AD98">
        <f ca="1">IF(C98&lt;=CRONO.NivelExibicao,MAX($AD$15:OFFSET(AD98,-1,0))+IF($C98&lt;&gt;1,1,MAX(1,COUNTIF(QCI!$A$13:$A$24,OFFSET($E98,-1,0)))),"")</f>
        <v>21</v>
      </c>
      <c r="AE98" s="7" t="b">
        <f ca="1">IF(AND($C98="S",ORÇAMENTO.CodBarra&lt;&gt;""),IF(ORÇAMENTO.Fonte="",ORÇAMENTO.CodBarra,CONCATENATE(ORÇAMENTO.Fonte," ",ORÇAMENTO.CodBarra)))</f>
        <v>0</v>
      </c>
      <c r="AF98" s="13" t="str">
        <f ca="1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(Sem Código)</v>
      </c>
      <c r="AG98" s="498">
        <f ca="1">ROUND(IF(DESONERACAO="sim",REFERENCIA.Desonerado,REFERENCIA.NaoDesonerado),2)</f>
        <v>0</v>
      </c>
      <c r="AH98" s="499">
        <f t="shared" ca="1" si="14"/>
        <v>0.20349999999999999</v>
      </c>
      <c r="AJ98" s="501"/>
      <c r="AL98" s="527"/>
      <c r="AM98" s="381">
        <f t="shared" ca="1" si="0"/>
        <v>16478.37</v>
      </c>
      <c r="AN98" s="566">
        <f t="shared" ca="1" si="15"/>
        <v>0</v>
      </c>
    </row>
    <row r="99" spans="1:40" ht="51" x14ac:dyDescent="0.2">
      <c r="A99" t="str">
        <f>CHOOSE(1+LOG(1+2*(ORÇAMENTO.Nivel="Meta")+4*(ORÇAMENTO.Nivel="Nível 2")+8*(ORÇAMENTO.Nivel="Nível 3")+16*(ORÇAMENTO.Nivel="Nível 4")+32*(ORÇAMENTO.Nivel="Serviço"),2),0,1,2,3,4,"S")</f>
        <v>S</v>
      </c>
      <c r="B99">
        <f ca="1">IF(OR(C99="s",C99=0),OFFSET(B99,-1,0),C99)</f>
        <v>2</v>
      </c>
      <c r="C99" t="str">
        <f ca="1">IF(OFFSET(C99,-1,0)="L",1,IF(OFFSET(C99,-1,0)=1,2,IF(OR(A99="s",A99=0),"S",IF(AND(OFFSET(C99,-1,0)=2,A99=4),3,IF(AND(OR(OFFSET(C99,-1,0)="s",OFFSET(C99,-1,0)=0),A99&lt;&gt;"s",A99&gt;OFFSET(B99,-1,0)),OFFSET(B99,-1,0),A99)))))</f>
        <v>S</v>
      </c>
      <c r="D99">
        <f ca="1">IF(OR(C99="S",C99=0),0,IF(ISERROR(K99),J99,SMALL(J99:K99,1)))</f>
        <v>0</v>
      </c>
      <c r="E99">
        <f ca="1">IF($C99=1,OFFSET(E99,-1,0)+MAX(1,COUNTIF(QCI!$A$13:$A$24,OFFSET(ORÇAMENTO!E99,-1,0))),OFFSET(E99,-1,0))</f>
        <v>6</v>
      </c>
      <c r="F99">
        <f ca="1">IF($C99=1,0,IF($C99=2,OFFSET(F99,-1,0)+1,OFFSET(F99,-1,0)))</f>
        <v>3</v>
      </c>
      <c r="G99">
        <f ca="1">IF(AND($C99&lt;=2,$C99&lt;&gt;0),0,IF($C99=3,OFFSET(G99,-1,0)+1,OFFSET(G99,-1,0)))</f>
        <v>0</v>
      </c>
      <c r="H99">
        <f ca="1">IF(AND($C99&lt;=3,$C99&lt;&gt;0),0,IF($C99=4,OFFSET(H99,-1,0)+1,OFFSET(H99,-1,0)))</f>
        <v>0</v>
      </c>
      <c r="I99">
        <f ca="1">IF(AND($C99&lt;=4,$C99&lt;&gt;0),0,IF(AND($C99="S",$X99&gt;0),OFFSET(I99,-1,0)+1,OFFSET(I99,-1,0)))</f>
        <v>1</v>
      </c>
      <c r="J99">
        <f ca="1">IF(OR($C99="S",$C99=0),0,MATCH(0,OFFSET($D99,1,$C99,ROW($C$165)-ROW($C99)),0))</f>
        <v>0</v>
      </c>
      <c r="K99">
        <f ca="1">IF(OR($C99="S",$C99=0),0,MATCH(OFFSET($D99,0,$C99)+IF($C99&lt;&gt;1,1,COUNTIF(QCI!$A$13:$A$24,ORÇAMENTO!E99)),OFFSET($D99,1,$C99,ROW($C$165)-ROW($C99)),0))</f>
        <v>0</v>
      </c>
      <c r="L99" s="116" t="str">
        <f ca="1">IF(OR($X99&gt;0,$C99=1,$C99=2,$C99=3,$C99=4),"F","")</f>
        <v>F</v>
      </c>
      <c r="M99" s="117" t="s">
        <v>199</v>
      </c>
      <c r="N99" s="118" t="str">
        <f ca="1">CHOOSE(1+LOG(1+2*(C99=1)+4*(C99=2)+8*(C99=3)+16*(C99=4)+32*(C99="S"),2),"","Meta","Nível 2","Nível 3","Nível 4","Serviço")</f>
        <v>Serviço</v>
      </c>
      <c r="O99" s="119" t="str">
        <f ca="1">IF(OR($C99=0,$L99=""),"-",CONCATENATE(E99&amp;".",IF(AND($A$5&gt;=2,$C99&gt;=2),F99&amp;".",""),IF(AND($A$5&gt;=3,$C99&gt;=3),G99&amp;".",""),IF(AND($A$5&gt;=4,$C99&gt;=4),H99&amp;".",""),IF($C99="S",I99&amp;".","")))</f>
        <v>6.3.1.</v>
      </c>
      <c r="P99" s="120" t="s">
        <v>247</v>
      </c>
      <c r="Q99" s="121" t="s">
        <v>564</v>
      </c>
      <c r="R99" s="122" t="str">
        <f ca="1">IF($C99="S",REFERENCIA.Descricao,"(digite a descrição aqui)")</f>
        <v>KIT CAVALETE PARA MEDIÇÃO DE ÁGUA - ENTRADA INDIVIDUALIZADA, EM PPR PN20 DN 25 MM (3/4") PARA 1 MEDIDOR - FORNECIMENTO E INSTALAÇÃO (EXCLUSIVE HIDRÔMETRO). AF_03/2024</v>
      </c>
      <c r="S99" s="123" t="str">
        <f ca="1">REFERENCIA.Unidade</f>
        <v>UN</v>
      </c>
      <c r="T99" s="124">
        <f ca="1">OFFSET(CÁLCULO!H$15,ROW($T99)-ROW(T$15),0)</f>
        <v>1</v>
      </c>
      <c r="U99" s="125">
        <f t="shared" ca="1" si="32"/>
        <v>373.85</v>
      </c>
      <c r="V99" s="126" t="s">
        <v>156</v>
      </c>
      <c r="W99" s="124">
        <f ca="1">IF($C99="S",ROUND(IF(TIPOORCAMENTO="Proposto",ORÇAMENTO.CustoUnitario*(1+$AH99),ORÇAMENTO.PrecoUnitarioLicitado),15-13*$AF$10),0)</f>
        <v>449.93</v>
      </c>
      <c r="X99" s="127">
        <f ca="1">IF($C99="S",IF(Import.TipoArredondamento&lt;&gt;"TransfereGOV",VTOTAL1,SUM(OFFSET(CÁLCULO!$AA$15,ROW($X99)-ROW($X$15),1):OFFSET(CÁLCULO!$AL$15,ROW($X99)-ROW($X$15),-1))),IF($C99=0,0,ROUND(SomaAgrup,15-13*$AF$11)))</f>
        <v>449.93</v>
      </c>
      <c r="Y99" s="128" t="s">
        <v>245</v>
      </c>
      <c r="Z99" t="str">
        <f ca="1">IF(AND($C99="S",$X99&gt;0),IF(ISBLANK($Y99),"RA",LEFT($Y99,2)),"")</f>
        <v>RA</v>
      </c>
      <c r="AA99" s="129">
        <f ca="1">IF($C99="S",IF($Z99="CP",$X99,IF($Z99="RA",(($X99)*QCI!$AA$3),0)),SomaAgrup)</f>
        <v>449.93</v>
      </c>
      <c r="AB99" s="130">
        <f ca="1">IF($C99="S",IF($Z99="OU",ROUND($X99,2),0),SomaAgrup)</f>
        <v>0</v>
      </c>
      <c r="AC99" s="131" t="str">
        <f ca="1">IF($N99="","",IF(ORÇAMENTO.Descricao="","DESCRIÇÃO",IF(AND($C99="S",ORÇAMENTO.Unidade=""),"UNIDADE",IF($X99&lt;0,"VALOR NEGATIVO",IF(OR(AND(TIPOORCAMENTO="Proposto",$AG99&lt;&gt;"",$AG99&gt;0,ORÇAMENTO.CustoUnitario&gt;$AG99),AND(TIPOORCAMENTO="LICITADO",ORÇAMENTO.PrecoUnitarioLicitado&gt;$AN99)),"ACIMA REF.","")))))</f>
        <v/>
      </c>
      <c r="AD99" t="str">
        <f ca="1">IF(C99&lt;=CRONO.NivelExibicao,MAX($AD$15:OFFSET(AD99,-1,0))+IF($C99&lt;&gt;1,1,MAX(1,COUNTIF(QCI!$A$13:$A$24,OFFSET($E99,-1,0)))),"")</f>
        <v/>
      </c>
      <c r="AE99" s="7" t="str">
        <f ca="1">IF(AND($C99="S",ORÇAMENTO.CodBarra&lt;&gt;""),IF(ORÇAMENTO.Fonte="",ORÇAMENTO.CodBarra,CONCATENATE(ORÇAMENTO.Fonte," ",ORÇAMENTO.CodBarra)))</f>
        <v>SINAPI 95657</v>
      </c>
      <c r="AF99" s="13">
        <f ca="1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15702</v>
      </c>
      <c r="AG99" s="498">
        <f ca="1">ROUND(IF(DESONERACAO="sim",REFERENCIA.Desonerado,REFERENCIA.NaoDesonerado),2)</f>
        <v>373.85</v>
      </c>
      <c r="AH99" s="499">
        <f ca="1">ROUND(IF(ISNUMBER(ORÇAMENTO.OpcaoBDI),ORÇAMENTO.OpcaoBDI,IF(LEFT(ORÇAMENTO.OpcaoBDI,3)="BDI",HLOOKUP(ORÇAMENTO.OpcaoBDI,$F$4:$H$5,2,FALSE),0)),15-11*$AF$9)</f>
        <v>0.20349999999999999</v>
      </c>
      <c r="AJ99" s="501">
        <v>1</v>
      </c>
      <c r="AL99" s="527"/>
      <c r="AM99" s="381">
        <f t="shared" ca="1" si="0"/>
        <v>449.93</v>
      </c>
      <c r="AN99" s="566">
        <f ca="1">ROUND(ORÇAMENTO.CustoUnitario*(1+$AH99),2)</f>
        <v>449.93</v>
      </c>
    </row>
    <row r="100" spans="1:40" ht="25.5" x14ac:dyDescent="0.2">
      <c r="A100" t="str">
        <f t="shared" si="1"/>
        <v>S</v>
      </c>
      <c r="B100">
        <f t="shared" ca="1" si="2"/>
        <v>2</v>
      </c>
      <c r="C100" t="str">
        <f t="shared" ca="1" si="3"/>
        <v>S</v>
      </c>
      <c r="D100">
        <f t="shared" ca="1" si="4"/>
        <v>0</v>
      </c>
      <c r="E100">
        <f ca="1">IF($C100=1,OFFSET(E100,-1,0)+MAX(1,COUNTIF(QCI!$A$13:$A$24,OFFSET(ORÇAMENTO!E100,-1,0))),OFFSET(E100,-1,0))</f>
        <v>6</v>
      </c>
      <c r="F100">
        <f t="shared" ca="1" si="5"/>
        <v>3</v>
      </c>
      <c r="G100">
        <f t="shared" ca="1" si="6"/>
        <v>0</v>
      </c>
      <c r="H100">
        <f t="shared" ca="1" si="7"/>
        <v>0</v>
      </c>
      <c r="I100">
        <f t="shared" ca="1" si="8"/>
        <v>2</v>
      </c>
      <c r="J100">
        <f ca="1">IF(OR($C100="S",$C100=0),0,MATCH(0,OFFSET($D100,1,$C100,ROW($C$165)-ROW($C100)),0))</f>
        <v>0</v>
      </c>
      <c r="K100">
        <f ca="1">IF(OR($C100="S",$C100=0),0,MATCH(OFFSET($D100,0,$C100)+IF($C100&lt;&gt;1,1,COUNTIF(QCI!$A$13:$A$24,ORÇAMENTO!E100)),OFFSET($D100,1,$C100,ROW($C$165)-ROW($C100)),0))</f>
        <v>0</v>
      </c>
      <c r="L100" s="116" t="str">
        <f t="shared" ca="1" si="9"/>
        <v>F</v>
      </c>
      <c r="M100" s="117" t="s">
        <v>199</v>
      </c>
      <c r="N100" s="118" t="str">
        <f t="shared" ca="1" si="10"/>
        <v>Serviço</v>
      </c>
      <c r="O100" s="119" t="str">
        <f t="shared" ca="1" si="11"/>
        <v>6.3.2.</v>
      </c>
      <c r="P100" s="120" t="s">
        <v>247</v>
      </c>
      <c r="Q100" s="121" t="s">
        <v>496</v>
      </c>
      <c r="R100" s="122" t="str">
        <f ca="1">IF($C100="S",REFERENCIA.Descricao,"(digite a descrição aqui)")</f>
        <v>TUBO, PVC, SOLDÁVEL, DE 25MM, INSTALADO EM PRUMADA DE ÁGUA - FORNECIMENTO E INSTALAÇÃO. AF_06/2022</v>
      </c>
      <c r="S100" s="123" t="str">
        <f ca="1">REFERENCIA.Unidade</f>
        <v>M</v>
      </c>
      <c r="T100" s="124">
        <f ca="1">OFFSET(CÁLCULO!H$15,ROW($T100)-ROW(T$15),0)</f>
        <v>26.4</v>
      </c>
      <c r="U100" s="125">
        <f t="shared" ca="1" si="32"/>
        <v>5.6</v>
      </c>
      <c r="V100" s="126" t="s">
        <v>156</v>
      </c>
      <c r="W100" s="124">
        <f ca="1">IF($C100="S",ROUND(IF(TIPOORCAMENTO="Proposto",ORÇAMENTO.CustoUnitario*(1+$AH100),ORÇAMENTO.PrecoUnitarioLicitado),15-13*$AF$10),0)</f>
        <v>6.74</v>
      </c>
      <c r="X100" s="127">
        <f ca="1">IF($C100="S",IF(Import.TipoArredondamento&lt;&gt;"TransfereGOV",VTOTAL1,SUM(OFFSET(CÁLCULO!$AA$15,ROW($X100)-ROW($X$15),1):OFFSET(CÁLCULO!$AL$15,ROW($X100)-ROW($X$15),-1))),IF($C100=0,0,ROUND(SomaAgrup,15-13*$AF$11)))</f>
        <v>177.94</v>
      </c>
      <c r="Y100" s="128" t="s">
        <v>245</v>
      </c>
      <c r="Z100" t="str">
        <f t="shared" ca="1" si="12"/>
        <v>RA</v>
      </c>
      <c r="AA100" s="129">
        <f ca="1">IF($C100="S",IF($Z100="CP",$X100,IF($Z100="RA",(($X100)*QCI!$AA$3),0)),SomaAgrup)</f>
        <v>177.94</v>
      </c>
      <c r="AB100" s="130">
        <f t="shared" ca="1" si="13"/>
        <v>0</v>
      </c>
      <c r="AC100" s="131" t="str">
        <f ca="1">IF($N100="","",IF(ORÇAMENTO.Descricao="","DESCRIÇÃO",IF(AND($C100="S",ORÇAMENTO.Unidade=""),"UNIDADE",IF($X100&lt;0,"VALOR NEGATIVO",IF(OR(AND(TIPOORCAMENTO="Proposto",$AG100&lt;&gt;"",$AG100&gt;0,ORÇAMENTO.CustoUnitario&gt;$AG100),AND(TIPOORCAMENTO="LICITADO",ORÇAMENTO.PrecoUnitarioLicitado&gt;$AN100)),"ACIMA REF.","")))))</f>
        <v/>
      </c>
      <c r="AD100" t="str">
        <f ca="1">IF(C100&lt;=CRONO.NivelExibicao,MAX($AD$15:OFFSET(AD100,-1,0))+IF($C100&lt;&gt;1,1,MAX(1,COUNTIF(QCI!$A$13:$A$24,OFFSET($E100,-1,0)))),"")</f>
        <v/>
      </c>
      <c r="AE100" s="7" t="str">
        <f ca="1">IF(AND($C100="S",ORÇAMENTO.CodBarra&lt;&gt;""),IF(ORÇAMENTO.Fonte="",ORÇAMENTO.CodBarra,CONCATENATE(ORÇAMENTO.Fonte," ",ORÇAMENTO.CodBarra)))</f>
        <v>SINAPI 89446</v>
      </c>
      <c r="AF100" s="13">
        <f ca="1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12162</v>
      </c>
      <c r="AG100" s="498">
        <f ca="1">ROUND(IF(DESONERACAO="sim",REFERENCIA.Desonerado,REFERENCIA.NaoDesonerado),2)</f>
        <v>5.6</v>
      </c>
      <c r="AH100" s="499">
        <f t="shared" ca="1" si="14"/>
        <v>0.20349999999999999</v>
      </c>
      <c r="AJ100" s="501">
        <v>26.4</v>
      </c>
      <c r="AL100" s="527"/>
      <c r="AM100" s="381">
        <f t="shared" ca="1" si="0"/>
        <v>177.94</v>
      </c>
      <c r="AN100" s="566">
        <f t="shared" ca="1" si="15"/>
        <v>6.74</v>
      </c>
    </row>
    <row r="101" spans="1:40" ht="38.25" x14ac:dyDescent="0.2">
      <c r="A101" t="str">
        <f t="shared" si="1"/>
        <v>S</v>
      </c>
      <c r="B101">
        <f t="shared" ca="1" si="2"/>
        <v>2</v>
      </c>
      <c r="C101" t="str">
        <f t="shared" ca="1" si="3"/>
        <v>S</v>
      </c>
      <c r="D101">
        <f t="shared" ca="1" si="4"/>
        <v>0</v>
      </c>
      <c r="E101">
        <f ca="1">IF($C101=1,OFFSET(E101,-1,0)+MAX(1,COUNTIF(QCI!$A$13:$A$24,OFFSET(ORÇAMENTO!E101,-1,0))),OFFSET(E101,-1,0))</f>
        <v>6</v>
      </c>
      <c r="F101">
        <f t="shared" ca="1" si="5"/>
        <v>3</v>
      </c>
      <c r="G101">
        <f t="shared" ca="1" si="6"/>
        <v>0</v>
      </c>
      <c r="H101">
        <f t="shared" ca="1" si="7"/>
        <v>0</v>
      </c>
      <c r="I101">
        <f t="shared" ca="1" si="8"/>
        <v>3</v>
      </c>
      <c r="J101">
        <f ca="1">IF(OR($C101="S",$C101=0),0,MATCH(0,OFFSET($D101,1,$C101,ROW($C$165)-ROW($C101)),0))</f>
        <v>0</v>
      </c>
      <c r="K101">
        <f ca="1">IF(OR($C101="S",$C101=0),0,MATCH(OFFSET($D101,0,$C101)+IF($C101&lt;&gt;1,1,COUNTIF(QCI!$A$13:$A$24,ORÇAMENTO!E101)),OFFSET($D101,1,$C101,ROW($C$165)-ROW($C101)),0))</f>
        <v>0</v>
      </c>
      <c r="L101" s="116" t="str">
        <f t="shared" ca="1" si="9"/>
        <v>F</v>
      </c>
      <c r="M101" s="117" t="s">
        <v>199</v>
      </c>
      <c r="N101" s="118" t="str">
        <f t="shared" ca="1" si="10"/>
        <v>Serviço</v>
      </c>
      <c r="O101" s="119" t="str">
        <f t="shared" ca="1" si="11"/>
        <v>6.3.3.</v>
      </c>
      <c r="P101" s="120" t="s">
        <v>247</v>
      </c>
      <c r="Q101" s="121" t="s">
        <v>497</v>
      </c>
      <c r="R101" s="122" t="str">
        <f ca="1">IF($C101="S",REFERENCIA.Descricao,"(digite a descrição aqui)")</f>
        <v>REGISTRO DE GAVETA BRUTO, LATÃO, ROSCÁVEL, 3/4", COM ACABAMENTO E CANOPLA CROMADOS - FORNECIMENTO E INSTALAÇÃO. AF_08/2021</v>
      </c>
      <c r="S101" s="123" t="str">
        <f ca="1">REFERENCIA.Unidade</f>
        <v>UN</v>
      </c>
      <c r="T101" s="124">
        <f ca="1">OFFSET(CÁLCULO!H$15,ROW($T101)-ROW(T$15),0)</f>
        <v>9</v>
      </c>
      <c r="U101" s="125">
        <f t="shared" ca="1" si="32"/>
        <v>113.25</v>
      </c>
      <c r="V101" s="126" t="s">
        <v>156</v>
      </c>
      <c r="W101" s="124">
        <f ca="1">IF($C101="S",ROUND(IF(TIPOORCAMENTO="Proposto",ORÇAMENTO.CustoUnitario*(1+$AH101),ORÇAMENTO.PrecoUnitarioLicitado),15-13*$AF$10),0)</f>
        <v>136.30000000000001</v>
      </c>
      <c r="X101" s="127">
        <f ca="1">IF($C101="S",IF(Import.TipoArredondamento&lt;&gt;"TransfereGOV",VTOTAL1,SUM(OFFSET(CÁLCULO!$AA$15,ROW($X101)-ROW($X$15),1):OFFSET(CÁLCULO!$AL$15,ROW($X101)-ROW($X$15),-1))),IF($C101=0,0,ROUND(SomaAgrup,15-13*$AF$11)))</f>
        <v>1226.7</v>
      </c>
      <c r="Y101" s="128" t="s">
        <v>245</v>
      </c>
      <c r="Z101" t="str">
        <f t="shared" ca="1" si="12"/>
        <v>RA</v>
      </c>
      <c r="AA101" s="129">
        <f ca="1">IF($C101="S",IF($Z101="CP",$X101,IF($Z101="RA",(($X101)*QCI!$AA$3),0)),SomaAgrup)</f>
        <v>1226.7</v>
      </c>
      <c r="AB101" s="130">
        <f t="shared" ca="1" si="13"/>
        <v>0</v>
      </c>
      <c r="AC101" s="131" t="str">
        <f ca="1">IF($N101="","",IF(ORÇAMENTO.Descricao="","DESCRIÇÃO",IF(AND($C101="S",ORÇAMENTO.Unidade=""),"UNIDADE",IF($X101&lt;0,"VALOR NEGATIVO",IF(OR(AND(TIPOORCAMENTO="Proposto",$AG101&lt;&gt;"",$AG101&gt;0,ORÇAMENTO.CustoUnitario&gt;$AG101),AND(TIPOORCAMENTO="LICITADO",ORÇAMENTO.PrecoUnitarioLicitado&gt;$AN101)),"ACIMA REF.","")))))</f>
        <v/>
      </c>
      <c r="AD101" t="str">
        <f ca="1">IF(C101&lt;=CRONO.NivelExibicao,MAX($AD$15:OFFSET(AD101,-1,0))+IF($C101&lt;&gt;1,1,MAX(1,COUNTIF(QCI!$A$13:$A$24,OFFSET($E101,-1,0)))),"")</f>
        <v/>
      </c>
      <c r="AE101" s="7" t="str">
        <f ca="1">IF(AND($C101="S",ORÇAMENTO.CodBarra&lt;&gt;""),IF(ORÇAMENTO.Fonte="",ORÇAMENTO.CodBarra,CONCATENATE(ORÇAMENTO.Fonte," ",ORÇAMENTO.CodBarra)))</f>
        <v>SINAPI 89987</v>
      </c>
      <c r="AF101" s="13">
        <f ca="1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16559</v>
      </c>
      <c r="AG101" s="498">
        <f ca="1">ROUND(IF(DESONERACAO="sim",REFERENCIA.Desonerado,REFERENCIA.NaoDesonerado),2)</f>
        <v>113.25</v>
      </c>
      <c r="AH101" s="499">
        <f t="shared" ca="1" si="14"/>
        <v>0.20349999999999999</v>
      </c>
      <c r="AJ101" s="501">
        <v>9</v>
      </c>
      <c r="AL101" s="527"/>
      <c r="AM101" s="381">
        <f t="shared" ca="1" si="0"/>
        <v>1226.7</v>
      </c>
      <c r="AN101" s="566">
        <f t="shared" ca="1" si="15"/>
        <v>136.30000000000001</v>
      </c>
    </row>
    <row r="102" spans="1:40" ht="25.5" x14ac:dyDescent="0.2">
      <c r="A102" t="str">
        <f>CHOOSE(1+LOG(1+2*(ORÇAMENTO.Nivel="Meta")+4*(ORÇAMENTO.Nivel="Nível 2")+8*(ORÇAMENTO.Nivel="Nível 3")+16*(ORÇAMENTO.Nivel="Nível 4")+32*(ORÇAMENTO.Nivel="Serviço"),2),0,1,2,3,4,"S")</f>
        <v>S</v>
      </c>
      <c r="B102">
        <f ca="1">IF(OR(C102="s",C102=0),OFFSET(B102,-1,0),C102)</f>
        <v>2</v>
      </c>
      <c r="C102" t="str">
        <f ca="1">IF(OFFSET(C102,-1,0)="L",1,IF(OFFSET(C102,-1,0)=1,2,IF(OR(A102="s",A102=0),"S",IF(AND(OFFSET(C102,-1,0)=2,A102=4),3,IF(AND(OR(OFFSET(C102,-1,0)="s",OFFSET(C102,-1,0)=0),A102&lt;&gt;"s",A102&gt;OFFSET(B102,-1,0)),OFFSET(B102,-1,0),A102)))))</f>
        <v>S</v>
      </c>
      <c r="D102">
        <f ca="1">IF(OR(C102="S",C102=0),0,IF(ISERROR(K102),J102,SMALL(J102:K102,1)))</f>
        <v>0</v>
      </c>
      <c r="E102">
        <f ca="1">IF($C102=1,OFFSET(E102,-1,0)+MAX(1,COUNTIF(QCI!$A$13:$A$24,OFFSET(ORÇAMENTO!E102,-1,0))),OFFSET(E102,-1,0))</f>
        <v>6</v>
      </c>
      <c r="F102">
        <f ca="1">IF($C102=1,0,IF($C102=2,OFFSET(F102,-1,0)+1,OFFSET(F102,-1,0)))</f>
        <v>3</v>
      </c>
      <c r="G102">
        <f ca="1">IF(AND($C102&lt;=2,$C102&lt;&gt;0),0,IF($C102=3,OFFSET(G102,-1,0)+1,OFFSET(G102,-1,0)))</f>
        <v>0</v>
      </c>
      <c r="H102">
        <f ca="1">IF(AND($C102&lt;=3,$C102&lt;&gt;0),0,IF($C102=4,OFFSET(H102,-1,0)+1,OFFSET(H102,-1,0)))</f>
        <v>0</v>
      </c>
      <c r="I102">
        <f ca="1">IF(AND($C102&lt;=4,$C102&lt;&gt;0),0,IF(AND($C102="S",$X102&gt;0),OFFSET(I102,-1,0)+1,OFFSET(I102,-1,0)))</f>
        <v>4</v>
      </c>
      <c r="J102">
        <f ca="1">IF(OR($C102="S",$C102=0),0,MATCH(0,OFFSET($D102,1,$C102,ROW($C$165)-ROW($C102)),0))</f>
        <v>0</v>
      </c>
      <c r="K102">
        <f ca="1">IF(OR($C102="S",$C102=0),0,MATCH(OFFSET($D102,0,$C102)+IF($C102&lt;&gt;1,1,COUNTIF(QCI!$A$13:$A$24,ORÇAMENTO!E102)),OFFSET($D102,1,$C102,ROW($C$165)-ROW($C102)),0))</f>
        <v>0</v>
      </c>
      <c r="L102" s="116" t="str">
        <f ca="1">IF(OR($X102&gt;0,$C102=1,$C102=2,$C102=3,$C102=4),"F","")</f>
        <v>F</v>
      </c>
      <c r="M102" s="117" t="s">
        <v>199</v>
      </c>
      <c r="N102" s="118" t="str">
        <f ca="1">CHOOSE(1+LOG(1+2*(C102=1)+4*(C102=2)+8*(C102=3)+16*(C102=4)+32*(C102="S"),2),"","Meta","Nível 2","Nível 3","Nível 4","Serviço")</f>
        <v>Serviço</v>
      </c>
      <c r="O102" s="119" t="str">
        <f ca="1">IF(OR($C102=0,$L102=""),"-",CONCATENATE(E102&amp;".",IF(AND($A$5&gt;=2,$C102&gt;=2),F102&amp;".",""),IF(AND($A$5&gt;=3,$C102&gt;=3),G102&amp;".",""),IF(AND($A$5&gt;=4,$C102&gt;=4),H102&amp;".",""),IF($C102="S",I102&amp;".","")))</f>
        <v>6.3.4.</v>
      </c>
      <c r="P102" s="120" t="s">
        <v>449</v>
      </c>
      <c r="Q102" s="121" t="s">
        <v>557</v>
      </c>
      <c r="R102" s="122" t="str">
        <f ca="1">IF($C102="S",REFERENCIA.Descricao,"(digite a descrição aqui)")</f>
        <v>ACABAMENTO DE METAL CROMADO PARA REGISTRO PEQUENO, DE PAREDE, 1/2" OU 3/4"</v>
      </c>
      <c r="S102" s="123" t="str">
        <f ca="1">REFERENCIA.Unidade</f>
        <v>UN</v>
      </c>
      <c r="T102" s="124">
        <f ca="1">OFFSET(CÁLCULO!H$15,ROW($T102)-ROW(T$15),0)</f>
        <v>9</v>
      </c>
      <c r="U102" s="125">
        <f t="shared" ca="1" si="32"/>
        <v>48.61</v>
      </c>
      <c r="V102" s="126" t="s">
        <v>156</v>
      </c>
      <c r="W102" s="124">
        <f ca="1">IF($C102="S",ROUND(IF(TIPOORCAMENTO="Proposto",ORÇAMENTO.CustoUnitario*(1+$AH102),ORÇAMENTO.PrecoUnitarioLicitado),15-13*$AF$10),0)</f>
        <v>58.5</v>
      </c>
      <c r="X102" s="127">
        <f ca="1">IF($C102="S",IF(Import.TipoArredondamento&lt;&gt;"TransfereGOV",VTOTAL1,SUM(OFFSET(CÁLCULO!$AA$15,ROW($X102)-ROW($X$15),1):OFFSET(CÁLCULO!$AL$15,ROW($X102)-ROW($X$15),-1))),IF($C102=0,0,ROUND(SomaAgrup,15-13*$AF$11)))</f>
        <v>526.5</v>
      </c>
      <c r="Y102" s="128" t="s">
        <v>245</v>
      </c>
      <c r="Z102" t="str">
        <f ca="1">IF(AND($C102="S",$X102&gt;0),IF(ISBLANK($Y102),"RA",LEFT($Y102,2)),"")</f>
        <v>RA</v>
      </c>
      <c r="AA102" s="129">
        <f ca="1">IF($C102="S",IF($Z102="CP",$X102,IF($Z102="RA",(($X102)*QCI!$AA$3),0)),SomaAgrup)</f>
        <v>526.5</v>
      </c>
      <c r="AB102" s="130">
        <f ca="1">IF($C102="S",IF($Z102="OU",ROUND($X102,2),0),SomaAgrup)</f>
        <v>0</v>
      </c>
      <c r="AC102" s="131" t="str">
        <f ca="1">IF($N102="","",IF(ORÇAMENTO.Descricao="","DESCRIÇÃO",IF(AND($C102="S",ORÇAMENTO.Unidade=""),"UNIDADE",IF($X102&lt;0,"VALOR NEGATIVO",IF(OR(AND(TIPOORCAMENTO="Proposto",$AG102&lt;&gt;"",$AG102&gt;0,ORÇAMENTO.CustoUnitario&gt;$AG102),AND(TIPOORCAMENTO="LICITADO",ORÇAMENTO.PrecoUnitarioLicitado&gt;$AN102)),"ACIMA REF.","")))))</f>
        <v/>
      </c>
      <c r="AD102" t="str">
        <f ca="1">IF(C102&lt;=CRONO.NivelExibicao,MAX($AD$15:OFFSET(AD102,-1,0))+IF($C102&lt;&gt;1,1,MAX(1,COUNTIF(QCI!$A$13:$A$24,OFFSET($E102,-1,0)))),"")</f>
        <v/>
      </c>
      <c r="AE102" s="7" t="str">
        <f ca="1">IF(AND($C102="S",ORÇAMENTO.CodBarra&lt;&gt;""),IF(ORÇAMENTO.Fonte="",ORÇAMENTO.CodBarra,CONCATENATE(ORÇAMENTO.Fonte," ",ORÇAMENTO.CodBarra)))</f>
        <v>SINAPI-I 36801</v>
      </c>
      <c r="AF102" s="13">
        <f ca="1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65</v>
      </c>
      <c r="AG102" s="498">
        <f ca="1">ROUND(IF(DESONERACAO="sim",REFERENCIA.Desonerado,REFERENCIA.NaoDesonerado),2)</f>
        <v>48.61</v>
      </c>
      <c r="AH102" s="499">
        <f ca="1">ROUND(IF(ISNUMBER(ORÇAMENTO.OpcaoBDI),ORÇAMENTO.OpcaoBDI,IF(LEFT(ORÇAMENTO.OpcaoBDI,3)="BDI",HLOOKUP(ORÇAMENTO.OpcaoBDI,$F$4:$H$5,2,FALSE),0)),15-11*$AF$9)</f>
        <v>0.20349999999999999</v>
      </c>
      <c r="AJ102" s="501">
        <v>9</v>
      </c>
      <c r="AL102" s="527"/>
      <c r="AM102" s="381">
        <f t="shared" ca="1" si="0"/>
        <v>526.5</v>
      </c>
      <c r="AN102" s="566">
        <f ca="1">ROUND(ORÇAMENTO.CustoUnitario*(1+$AH102),2)</f>
        <v>58.5</v>
      </c>
    </row>
    <row r="103" spans="1:40" ht="38.25" x14ac:dyDescent="0.2">
      <c r="A103" t="str">
        <f t="shared" si="1"/>
        <v>S</v>
      </c>
      <c r="B103">
        <f t="shared" ca="1" si="2"/>
        <v>2</v>
      </c>
      <c r="C103" t="str">
        <f t="shared" ca="1" si="3"/>
        <v>S</v>
      </c>
      <c r="D103">
        <f t="shared" ca="1" si="4"/>
        <v>0</v>
      </c>
      <c r="E103">
        <f ca="1">IF($C103=1,OFFSET(E103,-1,0)+MAX(1,COUNTIF(QCI!$A$13:$A$24,OFFSET(ORÇAMENTO!E103,-1,0))),OFFSET(E103,-1,0))</f>
        <v>6</v>
      </c>
      <c r="F103">
        <f t="shared" ca="1" si="5"/>
        <v>3</v>
      </c>
      <c r="G103">
        <f t="shared" ca="1" si="6"/>
        <v>0</v>
      </c>
      <c r="H103">
        <f t="shared" ca="1" si="7"/>
        <v>0</v>
      </c>
      <c r="I103">
        <f t="shared" ca="1" si="8"/>
        <v>5</v>
      </c>
      <c r="J103">
        <f ca="1">IF(OR($C103="S",$C103=0),0,MATCH(0,OFFSET($D103,1,$C103,ROW($C$165)-ROW($C103)),0))</f>
        <v>0</v>
      </c>
      <c r="K103">
        <f ca="1">IF(OR($C103="S",$C103=0),0,MATCH(OFFSET($D103,0,$C103)+IF($C103&lt;&gt;1,1,COUNTIF(QCI!$A$13:$A$24,ORÇAMENTO!E103)),OFFSET($D103,1,$C103,ROW($C$165)-ROW($C103)),0))</f>
        <v>0</v>
      </c>
      <c r="L103" s="116" t="str">
        <f t="shared" ca="1" si="9"/>
        <v>F</v>
      </c>
      <c r="M103" s="117" t="s">
        <v>199</v>
      </c>
      <c r="N103" s="118" t="str">
        <f t="shared" ca="1" si="10"/>
        <v>Serviço</v>
      </c>
      <c r="O103" s="119" t="str">
        <f t="shared" ca="1" si="11"/>
        <v>6.3.5.</v>
      </c>
      <c r="P103" s="120" t="s">
        <v>247</v>
      </c>
      <c r="Q103" s="121" t="s">
        <v>498</v>
      </c>
      <c r="R103" s="122" t="str">
        <f ca="1">IF($C103="S",REFERENCIA.Descricao,"(digite a descrição aqui)")</f>
        <v>JOELHO 90 GRAUS, PVC, SOLDÁVEL, DN 25MM, INSTALADO EM RAMAL OU SUB-RAMAL DE ÁGUA - FORNECIMENTO E INSTALAÇÃO. AF_06/2022</v>
      </c>
      <c r="S103" s="123" t="str">
        <f ca="1">REFERENCIA.Unidade</f>
        <v>UN</v>
      </c>
      <c r="T103" s="124">
        <f ca="1">OFFSET(CÁLCULO!H$15,ROW($T103)-ROW(T$15),0)</f>
        <v>12</v>
      </c>
      <c r="U103" s="125">
        <f t="shared" ca="1" si="32"/>
        <v>12.45</v>
      </c>
      <c r="V103" s="126" t="s">
        <v>156</v>
      </c>
      <c r="W103" s="124">
        <f ca="1">IF($C103="S",ROUND(IF(TIPOORCAMENTO="Proposto",ORÇAMENTO.CustoUnitario*(1+$AH103),ORÇAMENTO.PrecoUnitarioLicitado),15-13*$AF$10),0)</f>
        <v>14.98</v>
      </c>
      <c r="X103" s="127">
        <f ca="1">IF($C103="S",IF(Import.TipoArredondamento&lt;&gt;"TransfereGOV",VTOTAL1,SUM(OFFSET(CÁLCULO!$AA$15,ROW($X103)-ROW($X$15),1):OFFSET(CÁLCULO!$AL$15,ROW($X103)-ROW($X$15),-1))),IF($C103=0,0,ROUND(SomaAgrup,15-13*$AF$11)))</f>
        <v>179.76</v>
      </c>
      <c r="Y103" s="128" t="s">
        <v>245</v>
      </c>
      <c r="Z103" t="str">
        <f t="shared" ca="1" si="12"/>
        <v>RA</v>
      </c>
      <c r="AA103" s="129">
        <f ca="1">IF($C103="S",IF($Z103="CP",$X103,IF($Z103="RA",(($X103)*QCI!$AA$3),0)),SomaAgrup)</f>
        <v>179.76</v>
      </c>
      <c r="AB103" s="130">
        <f t="shared" ca="1" si="13"/>
        <v>0</v>
      </c>
      <c r="AC103" s="131" t="str">
        <f ca="1">IF($N103="","",IF(ORÇAMENTO.Descricao="","DESCRIÇÃO",IF(AND($C103="S",ORÇAMENTO.Unidade=""),"UNIDADE",IF($X103&lt;0,"VALOR NEGATIVO",IF(OR(AND(TIPOORCAMENTO="Proposto",$AG103&lt;&gt;"",$AG103&gt;0,ORÇAMENTO.CustoUnitario&gt;$AG103),AND(TIPOORCAMENTO="LICITADO",ORÇAMENTO.PrecoUnitarioLicitado&gt;$AN103)),"ACIMA REF.","")))))</f>
        <v/>
      </c>
      <c r="AD103" t="str">
        <f ca="1">IF(C103&lt;=CRONO.NivelExibicao,MAX($AD$15:OFFSET(AD103,-1,0))+IF($C103&lt;&gt;1,1,MAX(1,COUNTIF(QCI!$A$13:$A$24,OFFSET($E103,-1,0)))),"")</f>
        <v/>
      </c>
      <c r="AE103" s="7" t="str">
        <f ca="1">IF(AND($C103="S",ORÇAMENTO.CodBarra&lt;&gt;""),IF(ORÇAMENTO.Fonte="",ORÇAMENTO.CodBarra,CONCATENATE(ORÇAMENTO.Fonte," ",ORÇAMENTO.CodBarra)))</f>
        <v>SINAPI 89362</v>
      </c>
      <c r="AF103" s="13">
        <f ca="1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12070</v>
      </c>
      <c r="AG103" s="498">
        <f ca="1">ROUND(IF(DESONERACAO="sim",REFERENCIA.Desonerado,REFERENCIA.NaoDesonerado),2)</f>
        <v>12.45</v>
      </c>
      <c r="AH103" s="499">
        <f t="shared" ca="1" si="14"/>
        <v>0.20349999999999999</v>
      </c>
      <c r="AJ103" s="501">
        <v>12</v>
      </c>
      <c r="AL103" s="527"/>
      <c r="AM103" s="381">
        <f t="shared" ca="1" si="0"/>
        <v>179.76</v>
      </c>
      <c r="AN103" s="566">
        <f t="shared" ca="1" si="15"/>
        <v>14.98</v>
      </c>
    </row>
    <row r="104" spans="1:40" ht="38.25" x14ac:dyDescent="0.2">
      <c r="A104" t="str">
        <f t="shared" si="1"/>
        <v>S</v>
      </c>
      <c r="B104">
        <f t="shared" ca="1" si="2"/>
        <v>2</v>
      </c>
      <c r="C104" t="str">
        <f t="shared" ca="1" si="3"/>
        <v>S</v>
      </c>
      <c r="D104">
        <f t="shared" ca="1" si="4"/>
        <v>0</v>
      </c>
      <c r="E104">
        <f ca="1">IF($C104=1,OFFSET(E104,-1,0)+MAX(1,COUNTIF(QCI!$A$13:$A$24,OFFSET(ORÇAMENTO!E104,-1,0))),OFFSET(E104,-1,0))</f>
        <v>6</v>
      </c>
      <c r="F104">
        <f t="shared" ca="1" si="5"/>
        <v>3</v>
      </c>
      <c r="G104">
        <f t="shared" ca="1" si="6"/>
        <v>0</v>
      </c>
      <c r="H104">
        <f t="shared" ca="1" si="7"/>
        <v>0</v>
      </c>
      <c r="I104">
        <f t="shared" ca="1" si="8"/>
        <v>6</v>
      </c>
      <c r="J104">
        <f ca="1">IF(OR($C104="S",$C104=0),0,MATCH(0,OFFSET($D104,1,$C104,ROW($C$165)-ROW($C104)),0))</f>
        <v>0</v>
      </c>
      <c r="K104">
        <f ca="1">IF(OR($C104="S",$C104=0),0,MATCH(OFFSET($D104,0,$C104)+IF($C104&lt;&gt;1,1,COUNTIF(QCI!$A$13:$A$24,ORÇAMENTO!E104)),OFFSET($D104,1,$C104,ROW($C$165)-ROW($C104)),0))</f>
        <v>0</v>
      </c>
      <c r="L104" s="116" t="str">
        <f t="shared" ca="1" si="9"/>
        <v>F</v>
      </c>
      <c r="M104" s="117" t="s">
        <v>199</v>
      </c>
      <c r="N104" s="118" t="str">
        <f t="shared" ca="1" si="10"/>
        <v>Serviço</v>
      </c>
      <c r="O104" s="119" t="str">
        <f t="shared" ca="1" si="11"/>
        <v>6.3.6.</v>
      </c>
      <c r="P104" s="120" t="s">
        <v>247</v>
      </c>
      <c r="Q104" s="121" t="s">
        <v>499</v>
      </c>
      <c r="R104" s="122" t="str">
        <f ca="1">IF($C104="S",REFERENCIA.Descricao,"(digite a descrição aqui)")</f>
        <v>TE, PVC, SOLDÁVEL, DN 25MM, INSTALADO EM RAMAL DE DISTRIBUIÇÃO DE ÁGUA - FORNECIMENTO E INSTALAÇÃO. AF_06/2022</v>
      </c>
      <c r="S104" s="123" t="str">
        <f ca="1">REFERENCIA.Unidade</f>
        <v>UN</v>
      </c>
      <c r="T104" s="124">
        <f ca="1">OFFSET(CÁLCULO!H$15,ROW($T104)-ROW(T$15),0)</f>
        <v>18</v>
      </c>
      <c r="U104" s="125">
        <f t="shared" ca="1" si="32"/>
        <v>15.59</v>
      </c>
      <c r="V104" s="126" t="s">
        <v>156</v>
      </c>
      <c r="W104" s="124">
        <f ca="1">IF($C104="S",ROUND(IF(TIPOORCAMENTO="Proposto",ORÇAMENTO.CustoUnitario*(1+$AH104),ORÇAMENTO.PrecoUnitarioLicitado),15-13*$AF$10),0)</f>
        <v>18.760000000000002</v>
      </c>
      <c r="X104" s="127">
        <f ca="1">IF($C104="S",IF(Import.TipoArredondamento&lt;&gt;"TransfereGOV",VTOTAL1,SUM(OFFSET(CÁLCULO!$AA$15,ROW($X104)-ROW($X$15),1):OFFSET(CÁLCULO!$AL$15,ROW($X104)-ROW($X$15),-1))),IF($C104=0,0,ROUND(SomaAgrup,15-13*$AF$11)))</f>
        <v>337.68</v>
      </c>
      <c r="Y104" s="128" t="s">
        <v>245</v>
      </c>
      <c r="Z104" t="str">
        <f t="shared" ca="1" si="12"/>
        <v>RA</v>
      </c>
      <c r="AA104" s="129">
        <f ca="1">IF($C104="S",IF($Z104="CP",$X104,IF($Z104="RA",(($X104)*QCI!$AA$3),0)),SomaAgrup)</f>
        <v>337.68</v>
      </c>
      <c r="AB104" s="130">
        <f t="shared" ca="1" si="13"/>
        <v>0</v>
      </c>
      <c r="AC104" s="131" t="str">
        <f ca="1">IF($N104="","",IF(ORÇAMENTO.Descricao="","DESCRIÇÃO",IF(AND($C104="S",ORÇAMENTO.Unidade=""),"UNIDADE",IF($X104&lt;0,"VALOR NEGATIVO",IF(OR(AND(TIPOORCAMENTO="Proposto",$AG104&lt;&gt;"",$AG104&gt;0,ORÇAMENTO.CustoUnitario&gt;$AG104),AND(TIPOORCAMENTO="LICITADO",ORÇAMENTO.PrecoUnitarioLicitado&gt;$AN104)),"ACIMA REF.","")))))</f>
        <v/>
      </c>
      <c r="AD104" t="str">
        <f ca="1">IF(C104&lt;=CRONO.NivelExibicao,MAX($AD$15:OFFSET(AD104,-1,0))+IF($C104&lt;&gt;1,1,MAX(1,COUNTIF(QCI!$A$13:$A$24,OFFSET($E104,-1,0)))),"")</f>
        <v/>
      </c>
      <c r="AE104" s="7" t="str">
        <f ca="1">IF(AND($C104="S",ORÇAMENTO.CodBarra&lt;&gt;""),IF(ORÇAMENTO.Fonte="",ORÇAMENTO.CodBarra,CONCATENATE(ORÇAMENTO.Fonte," ",ORÇAMENTO.CodBarra)))</f>
        <v>SINAPI 89440</v>
      </c>
      <c r="AF104" s="13">
        <f ca="1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12148</v>
      </c>
      <c r="AG104" s="498">
        <f ca="1">ROUND(IF(DESONERACAO="sim",REFERENCIA.Desonerado,REFERENCIA.NaoDesonerado),2)</f>
        <v>15.59</v>
      </c>
      <c r="AH104" s="499">
        <f t="shared" ca="1" si="14"/>
        <v>0.20349999999999999</v>
      </c>
      <c r="AJ104" s="501">
        <v>18</v>
      </c>
      <c r="AL104" s="527"/>
      <c r="AM104" s="381">
        <f t="shared" ca="1" si="0"/>
        <v>337.68</v>
      </c>
      <c r="AN104" s="566">
        <f t="shared" ca="1" si="15"/>
        <v>18.760000000000002</v>
      </c>
    </row>
    <row r="105" spans="1:40" ht="25.5" x14ac:dyDescent="0.2">
      <c r="A105" t="str">
        <f t="shared" si="1"/>
        <v>S</v>
      </c>
      <c r="B105">
        <f t="shared" ca="1" si="2"/>
        <v>2</v>
      </c>
      <c r="C105" t="str">
        <f t="shared" ca="1" si="3"/>
        <v>S</v>
      </c>
      <c r="D105">
        <f t="shared" ca="1" si="4"/>
        <v>0</v>
      </c>
      <c r="E105">
        <f ca="1">IF($C105=1,OFFSET(E105,-1,0)+MAX(1,COUNTIF(QCI!$A$13:$A$24,OFFSET(ORÇAMENTO!E105,-1,0))),OFFSET(E105,-1,0))</f>
        <v>6</v>
      </c>
      <c r="F105">
        <f t="shared" ca="1" si="5"/>
        <v>3</v>
      </c>
      <c r="G105">
        <f t="shared" ca="1" si="6"/>
        <v>0</v>
      </c>
      <c r="H105">
        <f t="shared" ca="1" si="7"/>
        <v>0</v>
      </c>
      <c r="I105">
        <f t="shared" ca="1" si="8"/>
        <v>7</v>
      </c>
      <c r="J105">
        <f ca="1">IF(OR($C105="S",$C105=0),0,MATCH(0,OFFSET($D105,1,$C105,ROW($C$165)-ROW($C105)),0))</f>
        <v>0</v>
      </c>
      <c r="K105">
        <f ca="1">IF(OR($C105="S",$C105=0),0,MATCH(OFFSET($D105,0,$C105)+IF($C105&lt;&gt;1,1,COUNTIF(QCI!$A$13:$A$24,ORÇAMENTO!E105)),OFFSET($D105,1,$C105,ROW($C$165)-ROW($C105)),0))</f>
        <v>0</v>
      </c>
      <c r="L105" s="116" t="str">
        <f t="shared" ca="1" si="9"/>
        <v>F</v>
      </c>
      <c r="M105" s="117" t="s">
        <v>199</v>
      </c>
      <c r="N105" s="118" t="str">
        <f t="shared" ca="1" si="10"/>
        <v>Serviço</v>
      </c>
      <c r="O105" s="119" t="str">
        <f t="shared" ca="1" si="11"/>
        <v>6.3.7.</v>
      </c>
      <c r="P105" s="120" t="s">
        <v>247</v>
      </c>
      <c r="Q105" s="121" t="s">
        <v>500</v>
      </c>
      <c r="R105" s="122" t="str">
        <f ca="1">IF($C105="S",REFERENCIA.Descricao,"(digite a descrição aqui)")</f>
        <v>TUBO, PVC, SOLDÁVEL, DE 50MM, INSTALADO EM PRUMADA DE ÁGUA - FORNECIMENTO E INSTALAÇÃO. AF_06/2022</v>
      </c>
      <c r="S105" s="123" t="str">
        <f ca="1">REFERENCIA.Unidade</f>
        <v>M</v>
      </c>
      <c r="T105" s="124">
        <f ca="1">OFFSET(CÁLCULO!H$15,ROW($T105)-ROW(T$15),0)</f>
        <v>25</v>
      </c>
      <c r="U105" s="125">
        <f t="shared" ca="1" si="32"/>
        <v>18.21</v>
      </c>
      <c r="V105" s="126" t="s">
        <v>156</v>
      </c>
      <c r="W105" s="124">
        <f ca="1">IF($C105="S",ROUND(IF(TIPOORCAMENTO="Proposto",ORÇAMENTO.CustoUnitario*(1+$AH105),ORÇAMENTO.PrecoUnitarioLicitado),15-13*$AF$10),0)</f>
        <v>21.92</v>
      </c>
      <c r="X105" s="127">
        <f ca="1">IF($C105="S",IF(Import.TipoArredondamento&lt;&gt;"TransfereGOV",VTOTAL1,SUM(OFFSET(CÁLCULO!$AA$15,ROW($X105)-ROW($X$15),1):OFFSET(CÁLCULO!$AL$15,ROW($X105)-ROW($X$15),-1))),IF($C105=0,0,ROUND(SomaAgrup,15-13*$AF$11)))</f>
        <v>548</v>
      </c>
      <c r="Y105" s="128" t="s">
        <v>245</v>
      </c>
      <c r="Z105" t="str">
        <f t="shared" ca="1" si="12"/>
        <v>RA</v>
      </c>
      <c r="AA105" s="129">
        <f ca="1">IF($C105="S",IF($Z105="CP",$X105,IF($Z105="RA",(($X105)*QCI!$AA$3),0)),SomaAgrup)</f>
        <v>548</v>
      </c>
      <c r="AB105" s="130">
        <f t="shared" ca="1" si="13"/>
        <v>0</v>
      </c>
      <c r="AC105" s="131" t="str">
        <f ca="1">IF($N105="","",IF(ORÇAMENTO.Descricao="","DESCRIÇÃO",IF(AND($C105="S",ORÇAMENTO.Unidade=""),"UNIDADE",IF($X105&lt;0,"VALOR NEGATIVO",IF(OR(AND(TIPOORCAMENTO="Proposto",$AG105&lt;&gt;"",$AG105&gt;0,ORÇAMENTO.CustoUnitario&gt;$AG105),AND(TIPOORCAMENTO="LICITADO",ORÇAMENTO.PrecoUnitarioLicitado&gt;$AN105)),"ACIMA REF.","")))))</f>
        <v/>
      </c>
      <c r="AD105" t="str">
        <f ca="1">IF(C105&lt;=CRONO.NivelExibicao,MAX($AD$15:OFFSET(AD105,-1,0))+IF($C105&lt;&gt;1,1,MAX(1,COUNTIF(QCI!$A$13:$A$24,OFFSET($E105,-1,0)))),"")</f>
        <v/>
      </c>
      <c r="AE105" s="7" t="str">
        <f ca="1">IF(AND($C105="S",ORÇAMENTO.CodBarra&lt;&gt;""),IF(ORÇAMENTO.Fonte="",ORÇAMENTO.CodBarra,CONCATENATE(ORÇAMENTO.Fonte," ",ORÇAMENTO.CodBarra)))</f>
        <v>SINAPI 89449</v>
      </c>
      <c r="AF105" s="13">
        <f ca="1">IF(ISERROR(INDIRECT(ORÇAMENTO.BancoRef)),"(abra o arquivo 'Referência "&amp;Excel_BuiltIn_Database&amp;".xlsm)",IF(OR($C105&lt;&gt;"S",ORÇAMENTO.CodBarra=""),"(Sem Código)",IF(ISERROR(MATCH($AE105,INDIRECT(ORÇAMENTO.BancoRef),0)),"(Código não identificado nas referências)",MATCH($AE105,INDIRECT(ORÇAMENTO.BancoRef),0))))</f>
        <v>12170</v>
      </c>
      <c r="AG105" s="498">
        <f ca="1">ROUND(IF(DESONERACAO="sim",REFERENCIA.Desonerado,REFERENCIA.NaoDesonerado),2)</f>
        <v>18.21</v>
      </c>
      <c r="AH105" s="499">
        <f t="shared" ca="1" si="14"/>
        <v>0.20349999999999999</v>
      </c>
      <c r="AJ105" s="501">
        <v>25</v>
      </c>
      <c r="AL105" s="527"/>
      <c r="AM105" s="381">
        <f t="shared" ca="1" si="0"/>
        <v>548</v>
      </c>
      <c r="AN105" s="566">
        <f t="shared" ca="1" si="15"/>
        <v>21.92</v>
      </c>
    </row>
    <row r="106" spans="1:40" ht="25.5" x14ac:dyDescent="0.2">
      <c r="A106" t="str">
        <f t="shared" si="1"/>
        <v>S</v>
      </c>
      <c r="B106">
        <f t="shared" ca="1" si="2"/>
        <v>2</v>
      </c>
      <c r="C106" t="str">
        <f t="shared" ca="1" si="3"/>
        <v>S</v>
      </c>
      <c r="D106">
        <f t="shared" ca="1" si="4"/>
        <v>0</v>
      </c>
      <c r="E106">
        <f ca="1">IF($C106=1,OFFSET(E106,-1,0)+MAX(1,COUNTIF(QCI!$A$13:$A$24,OFFSET(ORÇAMENTO!E106,-1,0))),OFFSET(E106,-1,0))</f>
        <v>6</v>
      </c>
      <c r="F106">
        <f t="shared" ca="1" si="5"/>
        <v>3</v>
      </c>
      <c r="G106">
        <f t="shared" ca="1" si="6"/>
        <v>0</v>
      </c>
      <c r="H106">
        <f t="shared" ca="1" si="7"/>
        <v>0</v>
      </c>
      <c r="I106">
        <f t="shared" ca="1" si="8"/>
        <v>8</v>
      </c>
      <c r="J106">
        <f ca="1">IF(OR($C106="S",$C106=0),0,MATCH(0,OFFSET($D106,1,$C106,ROW($C$165)-ROW($C106)),0))</f>
        <v>0</v>
      </c>
      <c r="K106">
        <f ca="1">IF(OR($C106="S",$C106=0),0,MATCH(OFFSET($D106,0,$C106)+IF($C106&lt;&gt;1,1,COUNTIF(QCI!$A$13:$A$24,ORÇAMENTO!E106)),OFFSET($D106,1,$C106,ROW($C$165)-ROW($C106)),0))</f>
        <v>0</v>
      </c>
      <c r="L106" s="116" t="str">
        <f t="shared" ca="1" si="9"/>
        <v>F</v>
      </c>
      <c r="M106" s="117" t="s">
        <v>199</v>
      </c>
      <c r="N106" s="118" t="str">
        <f t="shared" ca="1" si="10"/>
        <v>Serviço</v>
      </c>
      <c r="O106" s="119" t="str">
        <f t="shared" ca="1" si="11"/>
        <v>6.3.8.</v>
      </c>
      <c r="P106" s="120" t="s">
        <v>247</v>
      </c>
      <c r="Q106" s="121" t="s">
        <v>501</v>
      </c>
      <c r="R106" s="122" t="str">
        <f ca="1">IF($C106="S",REFERENCIA.Descricao,"(digite a descrição aqui)")</f>
        <v>JOELHO 90 GRAUS, PVC, SOLDÁVEL, DN 50MM, INSTALADO EM PRUMADA DE ÁGUA - FORNECIMENTO E INSTALAÇÃO. AF_06/2022</v>
      </c>
      <c r="S106" s="123" t="str">
        <f ca="1">REFERENCIA.Unidade</f>
        <v>UN</v>
      </c>
      <c r="T106" s="124">
        <f ca="1">OFFSET(CÁLCULO!H$15,ROW($T106)-ROW(T$15),0)</f>
        <v>8</v>
      </c>
      <c r="U106" s="125">
        <f t="shared" ca="1" si="32"/>
        <v>16.940000000000001</v>
      </c>
      <c r="V106" s="126" t="s">
        <v>156</v>
      </c>
      <c r="W106" s="124">
        <f ca="1">IF($C106="S",ROUND(IF(TIPOORCAMENTO="Proposto",ORÇAMENTO.CustoUnitario*(1+$AH106),ORÇAMENTO.PrecoUnitarioLicitado),15-13*$AF$10),0)</f>
        <v>20.39</v>
      </c>
      <c r="X106" s="127">
        <f ca="1">IF($C106="S",IF(Import.TipoArredondamento&lt;&gt;"TransfereGOV",VTOTAL1,SUM(OFFSET(CÁLCULO!$AA$15,ROW($X106)-ROW($X$15),1):OFFSET(CÁLCULO!$AL$15,ROW($X106)-ROW($X$15),-1))),IF($C106=0,0,ROUND(SomaAgrup,15-13*$AF$11)))</f>
        <v>163.12</v>
      </c>
      <c r="Y106" s="128" t="s">
        <v>245</v>
      </c>
      <c r="Z106" t="str">
        <f t="shared" ca="1" si="12"/>
        <v>RA</v>
      </c>
      <c r="AA106" s="129">
        <f ca="1">IF($C106="S",IF($Z106="CP",$X106,IF($Z106="RA",(($X106)*QCI!$AA$3),0)),SomaAgrup)</f>
        <v>163.12</v>
      </c>
      <c r="AB106" s="130">
        <f t="shared" ca="1" si="13"/>
        <v>0</v>
      </c>
      <c r="AC106" s="131" t="str">
        <f ca="1">IF($N106="","",IF(ORÇAMENTO.Descricao="","DESCRIÇÃO",IF(AND($C106="S",ORÇAMENTO.Unidade=""),"UNIDADE",IF($X106&lt;0,"VALOR NEGATIVO",IF(OR(AND(TIPOORCAMENTO="Proposto",$AG106&lt;&gt;"",$AG106&gt;0,ORÇAMENTO.CustoUnitario&gt;$AG106),AND(TIPOORCAMENTO="LICITADO",ORÇAMENTO.PrecoUnitarioLicitado&gt;$AN106)),"ACIMA REF.","")))))</f>
        <v/>
      </c>
      <c r="AD106" t="str">
        <f ca="1">IF(C106&lt;=CRONO.NivelExibicao,MAX($AD$15:OFFSET(AD106,-1,0))+IF($C106&lt;&gt;1,1,MAX(1,COUNTIF(QCI!$A$13:$A$24,OFFSET($E106,-1,0)))),"")</f>
        <v/>
      </c>
      <c r="AE106" s="7" t="str">
        <f ca="1">IF(AND($C106="S",ORÇAMENTO.CodBarra&lt;&gt;""),IF(ORÇAMENTO.Fonte="",ORÇAMENTO.CodBarra,CONCATENATE(ORÇAMENTO.Fonte," ",ORÇAMENTO.CodBarra)))</f>
        <v>SINAPI 89501</v>
      </c>
      <c r="AF106" s="13">
        <f ca="1">IF(ISERROR(INDIRECT(ORÇAMENTO.BancoRef)),"(abra o arquivo 'Referência "&amp;Excel_BuiltIn_Database&amp;".xlsm)",IF(OR($C106&lt;&gt;"S",ORÇAMENTO.CodBarra=""),"(Sem Código)",IF(ISERROR(MATCH($AE106,INDIRECT(ORÇAMENTO.BancoRef),0)),"(Código não identificado nas referências)",MATCH($AE106,INDIRECT(ORÇAMENTO.BancoRef),0))))</f>
        <v>12077</v>
      </c>
      <c r="AG106" s="498">
        <f ca="1">ROUND(IF(DESONERACAO="sim",REFERENCIA.Desonerado,REFERENCIA.NaoDesonerado),2)</f>
        <v>16.940000000000001</v>
      </c>
      <c r="AH106" s="499">
        <f t="shared" ca="1" si="14"/>
        <v>0.20349999999999999</v>
      </c>
      <c r="AJ106" s="501">
        <v>8</v>
      </c>
      <c r="AL106" s="527"/>
      <c r="AM106" s="381">
        <f t="shared" ca="1" si="0"/>
        <v>163.12</v>
      </c>
      <c r="AN106" s="566">
        <f t="shared" ca="1" si="15"/>
        <v>20.39</v>
      </c>
    </row>
    <row r="107" spans="1:40" ht="38.25" x14ac:dyDescent="0.2">
      <c r="A107" t="str">
        <f t="shared" si="1"/>
        <v>S</v>
      </c>
      <c r="B107">
        <f t="shared" ca="1" si="2"/>
        <v>2</v>
      </c>
      <c r="C107" t="str">
        <f t="shared" ca="1" si="3"/>
        <v>S</v>
      </c>
      <c r="D107">
        <f t="shared" ca="1" si="4"/>
        <v>0</v>
      </c>
      <c r="E107">
        <f ca="1">IF($C107=1,OFFSET(E107,-1,0)+MAX(1,COUNTIF(QCI!$A$13:$A$24,OFFSET(ORÇAMENTO!E107,-1,0))),OFFSET(E107,-1,0))</f>
        <v>6</v>
      </c>
      <c r="F107">
        <f t="shared" ca="1" si="5"/>
        <v>3</v>
      </c>
      <c r="G107">
        <f t="shared" ca="1" si="6"/>
        <v>0</v>
      </c>
      <c r="H107">
        <f t="shared" ca="1" si="7"/>
        <v>0</v>
      </c>
      <c r="I107">
        <f t="shared" ca="1" si="8"/>
        <v>9</v>
      </c>
      <c r="J107">
        <f ca="1">IF(OR($C107="S",$C107=0),0,MATCH(0,OFFSET($D107,1,$C107,ROW($C$165)-ROW($C107)),0))</f>
        <v>0</v>
      </c>
      <c r="K107">
        <f ca="1">IF(OR($C107="S",$C107=0),0,MATCH(OFFSET($D107,0,$C107)+IF($C107&lt;&gt;1,1,COUNTIF(QCI!$A$13:$A$24,ORÇAMENTO!E107)),OFFSET($D107,1,$C107,ROW($C$165)-ROW($C107)),0))</f>
        <v>0</v>
      </c>
      <c r="L107" s="116" t="str">
        <f t="shared" ca="1" si="9"/>
        <v>F</v>
      </c>
      <c r="M107" s="117" t="s">
        <v>199</v>
      </c>
      <c r="N107" s="118" t="str">
        <f t="shared" ca="1" si="10"/>
        <v>Serviço</v>
      </c>
      <c r="O107" s="119" t="str">
        <f t="shared" ca="1" si="11"/>
        <v>6.3.9.</v>
      </c>
      <c r="P107" s="120" t="s">
        <v>247</v>
      </c>
      <c r="Q107" s="121" t="s">
        <v>519</v>
      </c>
      <c r="R107" s="122" t="str">
        <f ca="1">IF($C107="S",REFERENCIA.Descricao,"(digite a descrição aqui)")</f>
        <v>CAIXA D´ÁGUA EM POLIETILENO, 500 LITROS (INCLUSOS TUBOS, CONEXÕES E TORNEIRA DE BÓIA) - FORNECIMENTO E INSTALAÇÃO. AF_06/2021</v>
      </c>
      <c r="S107" s="123" t="str">
        <f ca="1">REFERENCIA.Unidade</f>
        <v>UN</v>
      </c>
      <c r="T107" s="124">
        <f ca="1">OFFSET(CÁLCULO!H$15,ROW($T107)-ROW(T$15),0)</f>
        <v>2</v>
      </c>
      <c r="U107" s="125">
        <f t="shared" ca="1" si="32"/>
        <v>644.04</v>
      </c>
      <c r="V107" s="126" t="s">
        <v>156</v>
      </c>
      <c r="W107" s="124">
        <f ca="1">IF($C107="S",ROUND(IF(TIPOORCAMENTO="Proposto",ORÇAMENTO.CustoUnitario*(1+$AH107),ORÇAMENTO.PrecoUnitarioLicitado),15-13*$AF$10),0)</f>
        <v>775.1</v>
      </c>
      <c r="X107" s="127">
        <f ca="1">IF($C107="S",IF(Import.TipoArredondamento&lt;&gt;"TransfereGOV",VTOTAL1,SUM(OFFSET(CÁLCULO!$AA$15,ROW($X107)-ROW($X$15),1):OFFSET(CÁLCULO!$AL$15,ROW($X107)-ROW($X$15),-1))),IF($C107=0,0,ROUND(SomaAgrup,15-13*$AF$11)))</f>
        <v>1550.2</v>
      </c>
      <c r="Y107" s="128" t="s">
        <v>245</v>
      </c>
      <c r="Z107" t="str">
        <f t="shared" ca="1" si="12"/>
        <v>RA</v>
      </c>
      <c r="AA107" s="129">
        <f ca="1">IF($C107="S",IF($Z107="CP",$X107,IF($Z107="RA",(($X107)*QCI!$AA$3),0)),SomaAgrup)</f>
        <v>1550.2</v>
      </c>
      <c r="AB107" s="130">
        <f t="shared" ca="1" si="13"/>
        <v>0</v>
      </c>
      <c r="AC107" s="131" t="str">
        <f ca="1">IF($N107="","",IF(ORÇAMENTO.Descricao="","DESCRIÇÃO",IF(AND($C107="S",ORÇAMENTO.Unidade=""),"UNIDADE",IF($X107&lt;0,"VALOR NEGATIVO",IF(OR(AND(TIPOORCAMENTO="Proposto",$AG107&lt;&gt;"",$AG107&gt;0,ORÇAMENTO.CustoUnitario&gt;$AG107),AND(TIPOORCAMENTO="LICITADO",ORÇAMENTO.PrecoUnitarioLicitado&gt;$AN107)),"ACIMA REF.","")))))</f>
        <v/>
      </c>
      <c r="AD107" t="str">
        <f ca="1">IF(C107&lt;=CRONO.NivelExibicao,MAX($AD$15:OFFSET(AD107,-1,0))+IF($C107&lt;&gt;1,1,MAX(1,COUNTIF(QCI!$A$13:$A$24,OFFSET($E107,-1,0)))),"")</f>
        <v/>
      </c>
      <c r="AE107" s="7" t="str">
        <f ca="1">IF(AND($C107="S",ORÇAMENTO.CodBarra&lt;&gt;""),IF(ORÇAMENTO.Fonte="",ORÇAMENTO.CodBarra,CONCATENATE(ORÇAMENTO.Fonte," ",ORÇAMENTO.CodBarra)))</f>
        <v>SINAPI 102622</v>
      </c>
      <c r="AF107" s="13">
        <f ca="1">IF(ISERROR(INDIRECT(ORÇAMENTO.BancoRef)),"(abra o arquivo 'Referência "&amp;Excel_BuiltIn_Database&amp;".xlsm)",IF(OR($C107&lt;&gt;"S",ORÇAMENTO.CodBarra=""),"(Sem Código)",IF(ISERROR(MATCH($AE107,INDIRECT(ORÇAMENTO.BancoRef),0)),"(Código não identificado nas referências)",MATCH($AE107,INDIRECT(ORÇAMENTO.BancoRef),0))))</f>
        <v>7350</v>
      </c>
      <c r="AG107" s="498">
        <f ca="1">ROUND(IF(DESONERACAO="sim",REFERENCIA.Desonerado,REFERENCIA.NaoDesonerado),2)</f>
        <v>644.04</v>
      </c>
      <c r="AH107" s="499">
        <f t="shared" ca="1" si="14"/>
        <v>0.20349999999999999</v>
      </c>
      <c r="AJ107" s="501">
        <v>2</v>
      </c>
      <c r="AL107" s="527"/>
      <c r="AM107" s="381">
        <f t="shared" ca="1" si="0"/>
        <v>1550.2</v>
      </c>
      <c r="AN107" s="566">
        <f t="shared" ca="1" si="15"/>
        <v>775.1</v>
      </c>
    </row>
    <row r="108" spans="1:40" ht="38.25" x14ac:dyDescent="0.2">
      <c r="A108" t="str">
        <f t="shared" si="1"/>
        <v>S</v>
      </c>
      <c r="B108">
        <f t="shared" ca="1" si="2"/>
        <v>2</v>
      </c>
      <c r="C108" t="str">
        <f t="shared" ca="1" si="3"/>
        <v>S</v>
      </c>
      <c r="D108">
        <f t="shared" ca="1" si="4"/>
        <v>0</v>
      </c>
      <c r="E108">
        <f ca="1">IF($C108=1,OFFSET(E108,-1,0)+MAX(1,COUNTIF(QCI!$A$13:$A$24,OFFSET(ORÇAMENTO!E108,-1,0))),OFFSET(E108,-1,0))</f>
        <v>6</v>
      </c>
      <c r="F108">
        <f t="shared" ca="1" si="5"/>
        <v>3</v>
      </c>
      <c r="G108">
        <f t="shared" ca="1" si="6"/>
        <v>0</v>
      </c>
      <c r="H108">
        <f t="shared" ca="1" si="7"/>
        <v>0</v>
      </c>
      <c r="I108">
        <f t="shared" ca="1" si="8"/>
        <v>10</v>
      </c>
      <c r="J108">
        <f ca="1">IF(OR($C108="S",$C108=0),0,MATCH(0,OFFSET($D108,1,$C108,ROW($C$165)-ROW($C108)),0))</f>
        <v>0</v>
      </c>
      <c r="K108">
        <f ca="1">IF(OR($C108="S",$C108=0),0,MATCH(OFFSET($D108,0,$C108)+IF($C108&lt;&gt;1,1,COUNTIF(QCI!$A$13:$A$24,ORÇAMENTO!E108)),OFFSET($D108,1,$C108,ROW($C$165)-ROW($C108)),0))</f>
        <v>0</v>
      </c>
      <c r="L108" s="116" t="str">
        <f t="shared" ca="1" si="9"/>
        <v>F</v>
      </c>
      <c r="M108" s="117" t="s">
        <v>199</v>
      </c>
      <c r="N108" s="118" t="str">
        <f t="shared" ca="1" si="10"/>
        <v>Serviço</v>
      </c>
      <c r="O108" s="119" t="str">
        <f t="shared" ca="1" si="11"/>
        <v>6.3.10.</v>
      </c>
      <c r="P108" s="120" t="s">
        <v>247</v>
      </c>
      <c r="Q108" s="121" t="s">
        <v>502</v>
      </c>
      <c r="R108" s="122" t="str">
        <f ca="1">IF($C108="S",REFERENCIA.Descricao,"(digite a descrição aqui)")</f>
        <v>TUBO PVC, SERIE NORMAL, ESGOTO PREDIAL, DN 50 MM, FORNECIDO E INSTALADO EM RAMAL DE DESCARGA OU RAMAL DE ESGOTO SANITÁRIO. AF_08/2022</v>
      </c>
      <c r="S108" s="123" t="str">
        <f ca="1">REFERENCIA.Unidade</f>
        <v>M</v>
      </c>
      <c r="T108" s="124">
        <f ca="1">OFFSET(CÁLCULO!H$15,ROW($T108)-ROW(T$15),0)</f>
        <v>28</v>
      </c>
      <c r="U108" s="125">
        <f t="shared" ca="1" si="32"/>
        <v>35.18</v>
      </c>
      <c r="V108" s="126" t="s">
        <v>156</v>
      </c>
      <c r="W108" s="124">
        <f ca="1">IF($C108="S",ROUND(IF(TIPOORCAMENTO="Proposto",ORÇAMENTO.CustoUnitario*(1+$AH108),ORÇAMENTO.PrecoUnitarioLicitado),15-13*$AF$10),0)</f>
        <v>42.34</v>
      </c>
      <c r="X108" s="127">
        <f ca="1">IF($C108="S",IF(Import.TipoArredondamento&lt;&gt;"TransfereGOV",VTOTAL1,SUM(OFFSET(CÁLCULO!$AA$15,ROW($X108)-ROW($X$15),1):OFFSET(CÁLCULO!$AL$15,ROW($X108)-ROW($X$15),-1))),IF($C108=0,0,ROUND(SomaAgrup,15-13*$AF$11)))</f>
        <v>1185.52</v>
      </c>
      <c r="Y108" s="128" t="s">
        <v>245</v>
      </c>
      <c r="Z108" t="str">
        <f t="shared" ca="1" si="12"/>
        <v>RA</v>
      </c>
      <c r="AA108" s="129">
        <f ca="1">IF($C108="S",IF($Z108="CP",$X108,IF($Z108="RA",(($X108)*QCI!$AA$3),0)),SomaAgrup)</f>
        <v>1185.52</v>
      </c>
      <c r="AB108" s="130">
        <f t="shared" ca="1" si="13"/>
        <v>0</v>
      </c>
      <c r="AC108" s="131" t="str">
        <f ca="1">IF($N108="","",IF(ORÇAMENTO.Descricao="","DESCRIÇÃO",IF(AND($C108="S",ORÇAMENTO.Unidade=""),"UNIDADE",IF($X108&lt;0,"VALOR NEGATIVO",IF(OR(AND(TIPOORCAMENTO="Proposto",$AG108&lt;&gt;"",$AG108&gt;0,ORÇAMENTO.CustoUnitario&gt;$AG108),AND(TIPOORCAMENTO="LICITADO",ORÇAMENTO.PrecoUnitarioLicitado&gt;$AN108)),"ACIMA REF.","")))))</f>
        <v/>
      </c>
      <c r="AD108" t="str">
        <f ca="1">IF(C108&lt;=CRONO.NivelExibicao,MAX($AD$15:OFFSET(AD108,-1,0))+IF($C108&lt;&gt;1,1,MAX(1,COUNTIF(QCI!$A$13:$A$24,OFFSET($E108,-1,0)))),"")</f>
        <v/>
      </c>
      <c r="AE108" s="7" t="str">
        <f ca="1">IF(AND($C108="S",ORÇAMENTO.CodBarra&lt;&gt;""),IF(ORÇAMENTO.Fonte="",ORÇAMENTO.CodBarra,CONCATENATE(ORÇAMENTO.Fonte," ",ORÇAMENTO.CodBarra)))</f>
        <v>SINAPI 89712</v>
      </c>
      <c r="AF108" s="13">
        <f ca="1">IF(ISERROR(INDIRECT(ORÇAMENTO.BancoRef)),"(abra o arquivo 'Referência "&amp;Excel_BuiltIn_Database&amp;".xlsm)",IF(OR($C108&lt;&gt;"S",ORÇAMENTO.CodBarra=""),"(Sem Código)",IF(ISERROR(MATCH($AE108,INDIRECT(ORÇAMENTO.BancoRef),0)),"(Código não identificado nas referências)",MATCH($AE108,INDIRECT(ORÇAMENTO.BancoRef),0))))</f>
        <v>11969</v>
      </c>
      <c r="AG108" s="498">
        <f ca="1">ROUND(IF(DESONERACAO="sim",REFERENCIA.Desonerado,REFERENCIA.NaoDesonerado),2)</f>
        <v>35.18</v>
      </c>
      <c r="AH108" s="499">
        <f t="shared" ca="1" si="14"/>
        <v>0.20349999999999999</v>
      </c>
      <c r="AJ108" s="501">
        <v>28</v>
      </c>
      <c r="AL108" s="527"/>
      <c r="AM108" s="381">
        <f t="shared" ca="1" si="0"/>
        <v>1185.52</v>
      </c>
      <c r="AN108" s="566">
        <f t="shared" ca="1" si="15"/>
        <v>42.34</v>
      </c>
    </row>
    <row r="109" spans="1:40" ht="38.25" x14ac:dyDescent="0.2">
      <c r="A109" t="str">
        <f t="shared" si="1"/>
        <v>S</v>
      </c>
      <c r="B109">
        <f t="shared" ca="1" si="2"/>
        <v>2</v>
      </c>
      <c r="C109" t="str">
        <f t="shared" ca="1" si="3"/>
        <v>S</v>
      </c>
      <c r="D109">
        <f t="shared" ca="1" si="4"/>
        <v>0</v>
      </c>
      <c r="E109">
        <f ca="1">IF($C109=1,OFFSET(E109,-1,0)+MAX(1,COUNTIF(QCI!$A$13:$A$24,OFFSET(ORÇAMENTO!E109,-1,0))),OFFSET(E109,-1,0))</f>
        <v>6</v>
      </c>
      <c r="F109">
        <f t="shared" ca="1" si="5"/>
        <v>3</v>
      </c>
      <c r="G109">
        <f t="shared" ca="1" si="6"/>
        <v>0</v>
      </c>
      <c r="H109">
        <f t="shared" ca="1" si="7"/>
        <v>0</v>
      </c>
      <c r="I109">
        <f t="shared" ca="1" si="8"/>
        <v>11</v>
      </c>
      <c r="J109">
        <f ca="1">IF(OR($C109="S",$C109=0),0,MATCH(0,OFFSET($D109,1,$C109,ROW($C$165)-ROW($C109)),0))</f>
        <v>0</v>
      </c>
      <c r="K109">
        <f ca="1">IF(OR($C109="S",$C109=0),0,MATCH(OFFSET($D109,0,$C109)+IF($C109&lt;&gt;1,1,COUNTIF(QCI!$A$13:$A$24,ORÇAMENTO!E109)),OFFSET($D109,1,$C109,ROW($C$165)-ROW($C109)),0))</f>
        <v>0</v>
      </c>
      <c r="L109" s="116" t="str">
        <f t="shared" ca="1" si="9"/>
        <v>F</v>
      </c>
      <c r="M109" s="117" t="s">
        <v>199</v>
      </c>
      <c r="N109" s="118" t="str">
        <f t="shared" ca="1" si="10"/>
        <v>Serviço</v>
      </c>
      <c r="O109" s="119" t="str">
        <f t="shared" ca="1" si="11"/>
        <v>6.3.11.</v>
      </c>
      <c r="P109" s="120" t="s">
        <v>247</v>
      </c>
      <c r="Q109" s="121" t="s">
        <v>503</v>
      </c>
      <c r="R109" s="122" t="str">
        <f ca="1">IF($C109="S",REFERENCIA.Descricao,"(digite a descrição aqui)")</f>
        <v>TUBO PVC, SERIE NORMAL, ESGOTO PREDIAL, DN 100 MM, FORNECIDO E INSTALADO EM RAMAL DE DESCARGA OU RAMAL DE ESGOTO SANITÁRIO. AF_08/2022</v>
      </c>
      <c r="S109" s="123" t="str">
        <f ca="1">REFERENCIA.Unidade</f>
        <v>M</v>
      </c>
      <c r="T109" s="124">
        <f ca="1">OFFSET(CÁLCULO!H$15,ROW($T109)-ROW(T$15),0)</f>
        <v>40</v>
      </c>
      <c r="U109" s="125">
        <f t="shared" ca="1" si="32"/>
        <v>49</v>
      </c>
      <c r="V109" s="126" t="s">
        <v>156</v>
      </c>
      <c r="W109" s="124">
        <f ca="1">IF($C109="S",ROUND(IF(TIPOORCAMENTO="Proposto",ORÇAMENTO.CustoUnitario*(1+$AH109),ORÇAMENTO.PrecoUnitarioLicitado),15-13*$AF$10),0)</f>
        <v>58.97</v>
      </c>
      <c r="X109" s="127">
        <f ca="1">IF($C109="S",IF(Import.TipoArredondamento&lt;&gt;"TransfereGOV",VTOTAL1,SUM(OFFSET(CÁLCULO!$AA$15,ROW($X109)-ROW($X$15),1):OFFSET(CÁLCULO!$AL$15,ROW($X109)-ROW($X$15),-1))),IF($C109=0,0,ROUND(SomaAgrup,15-13*$AF$11)))</f>
        <v>2358.8000000000002</v>
      </c>
      <c r="Y109" s="128" t="s">
        <v>245</v>
      </c>
      <c r="Z109" t="str">
        <f t="shared" ca="1" si="12"/>
        <v>RA</v>
      </c>
      <c r="AA109" s="129">
        <f ca="1">IF($C109="S",IF($Z109="CP",$X109,IF($Z109="RA",(($X109)*QCI!$AA$3),0)),SomaAgrup)</f>
        <v>2358.8000000000002</v>
      </c>
      <c r="AB109" s="130">
        <f t="shared" ca="1" si="13"/>
        <v>0</v>
      </c>
      <c r="AC109" s="131" t="str">
        <f ca="1">IF($N109="","",IF(ORÇAMENTO.Descricao="","DESCRIÇÃO",IF(AND($C109="S",ORÇAMENTO.Unidade=""),"UNIDADE",IF($X109&lt;0,"VALOR NEGATIVO",IF(OR(AND(TIPOORCAMENTO="Proposto",$AG109&lt;&gt;"",$AG109&gt;0,ORÇAMENTO.CustoUnitario&gt;$AG109),AND(TIPOORCAMENTO="LICITADO",ORÇAMENTO.PrecoUnitarioLicitado&gt;$AN109)),"ACIMA REF.","")))))</f>
        <v/>
      </c>
      <c r="AD109" t="str">
        <f ca="1">IF(C109&lt;=CRONO.NivelExibicao,MAX($AD$15:OFFSET(AD109,-1,0))+IF($C109&lt;&gt;1,1,MAX(1,COUNTIF(QCI!$A$13:$A$24,OFFSET($E109,-1,0)))),"")</f>
        <v/>
      </c>
      <c r="AE109" s="7" t="str">
        <f ca="1">IF(AND($C109="S",ORÇAMENTO.CodBarra&lt;&gt;""),IF(ORÇAMENTO.Fonte="",ORÇAMENTO.CodBarra,CONCATENATE(ORÇAMENTO.Fonte," ",ORÇAMENTO.CodBarra)))</f>
        <v>SINAPI 89714</v>
      </c>
      <c r="AF109" s="13">
        <f ca="1">IF(ISERROR(INDIRECT(ORÇAMENTO.BancoRef)),"(abra o arquivo 'Referência "&amp;Excel_BuiltIn_Database&amp;".xlsm)",IF(OR($C109&lt;&gt;"S",ORÇAMENTO.CodBarra=""),"(Sem Código)",IF(ISERROR(MATCH($AE109,INDIRECT(ORÇAMENTO.BancoRef),0)),"(Código não identificado nas referências)",MATCH($AE109,INDIRECT(ORÇAMENTO.BancoRef),0))))</f>
        <v>11964</v>
      </c>
      <c r="AG109" s="498">
        <f ca="1">ROUND(IF(DESONERACAO="sim",REFERENCIA.Desonerado,REFERENCIA.NaoDesonerado),2)</f>
        <v>49</v>
      </c>
      <c r="AH109" s="499">
        <f t="shared" ca="1" si="14"/>
        <v>0.20349999999999999</v>
      </c>
      <c r="AJ109" s="501">
        <v>40</v>
      </c>
      <c r="AL109" s="527"/>
      <c r="AM109" s="381">
        <f t="shared" ca="1" si="0"/>
        <v>2358.8000000000002</v>
      </c>
      <c r="AN109" s="566">
        <f t="shared" ca="1" si="15"/>
        <v>58.97</v>
      </c>
    </row>
    <row r="110" spans="1:40" ht="38.25" x14ac:dyDescent="0.2">
      <c r="A110" t="str">
        <f t="shared" si="1"/>
        <v>S</v>
      </c>
      <c r="B110">
        <f t="shared" ca="1" si="2"/>
        <v>2</v>
      </c>
      <c r="C110" t="str">
        <f t="shared" ca="1" si="3"/>
        <v>S</v>
      </c>
      <c r="D110">
        <f t="shared" ca="1" si="4"/>
        <v>0</v>
      </c>
      <c r="E110">
        <f ca="1">IF($C110=1,OFFSET(E110,-1,0)+MAX(1,COUNTIF(QCI!$A$13:$A$24,OFFSET(ORÇAMENTO!E110,-1,0))),OFFSET(E110,-1,0))</f>
        <v>6</v>
      </c>
      <c r="F110">
        <f t="shared" ca="1" si="5"/>
        <v>3</v>
      </c>
      <c r="G110">
        <f t="shared" ca="1" si="6"/>
        <v>0</v>
      </c>
      <c r="H110">
        <f t="shared" ca="1" si="7"/>
        <v>0</v>
      </c>
      <c r="I110">
        <f t="shared" ca="1" si="8"/>
        <v>12</v>
      </c>
      <c r="J110">
        <f ca="1">IF(OR($C110="S",$C110=0),0,MATCH(0,OFFSET($D110,1,$C110,ROW($C$165)-ROW($C110)),0))</f>
        <v>0</v>
      </c>
      <c r="K110">
        <f ca="1">IF(OR($C110="S",$C110=0),0,MATCH(OFFSET($D110,0,$C110)+IF($C110&lt;&gt;1,1,COUNTIF(QCI!$A$13:$A$24,ORÇAMENTO!E110)),OFFSET($D110,1,$C110,ROW($C$165)-ROW($C110)),0))</f>
        <v>0</v>
      </c>
      <c r="L110" s="116" t="str">
        <f t="shared" ca="1" si="9"/>
        <v>F</v>
      </c>
      <c r="M110" s="117" t="s">
        <v>199</v>
      </c>
      <c r="N110" s="118" t="str">
        <f t="shared" ca="1" si="10"/>
        <v>Serviço</v>
      </c>
      <c r="O110" s="119" t="str">
        <f t="shared" ca="1" si="11"/>
        <v>6.3.12.</v>
      </c>
      <c r="P110" s="120" t="s">
        <v>247</v>
      </c>
      <c r="Q110" s="121" t="s">
        <v>504</v>
      </c>
      <c r="R110" s="122" t="str">
        <f ca="1">IF($C110="S",REFERENCIA.Descricao,"(digite a descrição aqui)")</f>
        <v>CAIXA SIFONADA, PVC, DN 100 X 100 X 50 MM, JUNTA ELÁSTICA, FORNECIDA E INSTALADA EM RAMAL DE DESCARGA OU EM RAMAL DE ESGOTO SANITÁRIO. AF_08/2022</v>
      </c>
      <c r="S110" s="123" t="str">
        <f ca="1">REFERENCIA.Unidade</f>
        <v>UN</v>
      </c>
      <c r="T110" s="124">
        <f ca="1">OFFSET(CÁLCULO!H$15,ROW($T110)-ROW(T$15),0)</f>
        <v>7</v>
      </c>
      <c r="U110" s="125">
        <f t="shared" ca="1" si="32"/>
        <v>59.65</v>
      </c>
      <c r="V110" s="126" t="s">
        <v>156</v>
      </c>
      <c r="W110" s="124">
        <f ca="1">IF($C110="S",ROUND(IF(TIPOORCAMENTO="Proposto",ORÇAMENTO.CustoUnitario*(1+$AH110),ORÇAMENTO.PrecoUnitarioLicitado),15-13*$AF$10),0)</f>
        <v>71.790000000000006</v>
      </c>
      <c r="X110" s="127">
        <f ca="1">IF($C110="S",IF(Import.TipoArredondamento&lt;&gt;"TransfereGOV",VTOTAL1,SUM(OFFSET(CÁLCULO!$AA$15,ROW($X110)-ROW($X$15),1):OFFSET(CÁLCULO!$AL$15,ROW($X110)-ROW($X$15),-1))),IF($C110=0,0,ROUND(SomaAgrup,15-13*$AF$11)))</f>
        <v>502.53</v>
      </c>
      <c r="Y110" s="128" t="s">
        <v>245</v>
      </c>
      <c r="Z110" t="str">
        <f t="shared" ca="1" si="12"/>
        <v>RA</v>
      </c>
      <c r="AA110" s="129">
        <f ca="1">IF($C110="S",IF($Z110="CP",$X110,IF($Z110="RA",(($X110)*QCI!$AA$3),0)),SomaAgrup)</f>
        <v>502.53</v>
      </c>
      <c r="AB110" s="130">
        <f t="shared" ca="1" si="13"/>
        <v>0</v>
      </c>
      <c r="AC110" s="131" t="str">
        <f ca="1">IF($N110="","",IF(ORÇAMENTO.Descricao="","DESCRIÇÃO",IF(AND($C110="S",ORÇAMENTO.Unidade=""),"UNIDADE",IF($X110&lt;0,"VALOR NEGATIVO",IF(OR(AND(TIPOORCAMENTO="Proposto",$AG110&lt;&gt;"",$AG110&gt;0,ORÇAMENTO.CustoUnitario&gt;$AG110),AND(TIPOORCAMENTO="LICITADO",ORÇAMENTO.PrecoUnitarioLicitado&gt;$AN110)),"ACIMA REF.","")))))</f>
        <v/>
      </c>
      <c r="AD110" t="str">
        <f ca="1">IF(C110&lt;=CRONO.NivelExibicao,MAX($AD$15:OFFSET(AD110,-1,0))+IF($C110&lt;&gt;1,1,MAX(1,COUNTIF(QCI!$A$13:$A$24,OFFSET($E110,-1,0)))),"")</f>
        <v/>
      </c>
      <c r="AE110" s="7" t="str">
        <f ca="1">IF(AND($C110="S",ORÇAMENTO.CodBarra&lt;&gt;""),IF(ORÇAMENTO.Fonte="",ORÇAMENTO.CodBarra,CONCATENATE(ORÇAMENTO.Fonte," ",ORÇAMENTO.CodBarra)))</f>
        <v>SINAPI 89707</v>
      </c>
      <c r="AF110" s="13">
        <f ca="1">IF(ISERROR(INDIRECT(ORÇAMENTO.BancoRef)),"(abra o arquivo 'Referência "&amp;Excel_BuiltIn_Database&amp;".xlsm)",IF(OR($C110&lt;&gt;"S",ORÇAMENTO.CodBarra=""),"(Sem Código)",IF(ISERROR(MATCH($AE110,INDIRECT(ORÇAMENTO.BancoRef),0)),"(Código não identificado nas referências)",MATCH($AE110,INDIRECT(ORÇAMENTO.BancoRef),0))))</f>
        <v>11875</v>
      </c>
      <c r="AG110" s="498">
        <f ca="1">ROUND(IF(DESONERACAO="sim",REFERENCIA.Desonerado,REFERENCIA.NaoDesonerado),2)</f>
        <v>59.65</v>
      </c>
      <c r="AH110" s="499">
        <f t="shared" ca="1" si="14"/>
        <v>0.20349999999999999</v>
      </c>
      <c r="AJ110" s="501">
        <v>7</v>
      </c>
      <c r="AL110" s="527"/>
      <c r="AM110" s="381">
        <f t="shared" ca="1" si="0"/>
        <v>502.53</v>
      </c>
      <c r="AN110" s="566">
        <f t="shared" ca="1" si="15"/>
        <v>71.790000000000006</v>
      </c>
    </row>
    <row r="111" spans="1:40" ht="38.25" x14ac:dyDescent="0.2">
      <c r="A111" t="str">
        <f>CHOOSE(1+LOG(1+2*(ORÇAMENTO.Nivel="Meta")+4*(ORÇAMENTO.Nivel="Nível 2")+8*(ORÇAMENTO.Nivel="Nível 3")+16*(ORÇAMENTO.Nivel="Nível 4")+32*(ORÇAMENTO.Nivel="Serviço"),2),0,1,2,3,4,"S")</f>
        <v>S</v>
      </c>
      <c r="B111">
        <f ca="1">IF(OR(C111="s",C111=0),OFFSET(B111,-1,0),C111)</f>
        <v>2</v>
      </c>
      <c r="C111" t="str">
        <f ca="1">IF(OFFSET(C111,-1,0)="L",1,IF(OFFSET(C111,-1,0)=1,2,IF(OR(A111="s",A111=0),"S",IF(AND(OFFSET(C111,-1,0)=2,A111=4),3,IF(AND(OR(OFFSET(C111,-1,0)="s",OFFSET(C111,-1,0)=0),A111&lt;&gt;"s",A111&gt;OFFSET(B111,-1,0)),OFFSET(B111,-1,0),A111)))))</f>
        <v>S</v>
      </c>
      <c r="D111">
        <f ca="1">IF(OR(C111="S",C111=0),0,IF(ISERROR(K111),J111,SMALL(J111:K111,1)))</f>
        <v>0</v>
      </c>
      <c r="E111">
        <f ca="1">IF($C111=1,OFFSET(E111,-1,0)+MAX(1,COUNTIF(QCI!$A$13:$A$24,OFFSET(ORÇAMENTO!E111,-1,0))),OFFSET(E111,-1,0))</f>
        <v>6</v>
      </c>
      <c r="F111">
        <f ca="1">IF($C111=1,0,IF($C111=2,OFFSET(F111,-1,0)+1,OFFSET(F111,-1,0)))</f>
        <v>3</v>
      </c>
      <c r="G111">
        <f ca="1">IF(AND($C111&lt;=2,$C111&lt;&gt;0),0,IF($C111=3,OFFSET(G111,-1,0)+1,OFFSET(G111,-1,0)))</f>
        <v>0</v>
      </c>
      <c r="H111">
        <f ca="1">IF(AND($C111&lt;=3,$C111&lt;&gt;0),0,IF($C111=4,OFFSET(H111,-1,0)+1,OFFSET(H111,-1,0)))</f>
        <v>0</v>
      </c>
      <c r="I111">
        <f ca="1">IF(AND($C111&lt;=4,$C111&lt;&gt;0),0,IF(AND($C111="S",$X111&gt;0),OFFSET(I111,-1,0)+1,OFFSET(I111,-1,0)))</f>
        <v>13</v>
      </c>
      <c r="J111">
        <f ca="1">IF(OR($C111="S",$C111=0),0,MATCH(0,OFFSET($D111,1,$C111,ROW($C$165)-ROW($C111)),0))</f>
        <v>0</v>
      </c>
      <c r="K111">
        <f ca="1">IF(OR($C111="S",$C111=0),0,MATCH(OFFSET($D111,0,$C111)+IF($C111&lt;&gt;1,1,COUNTIF(QCI!$A$13:$A$24,ORÇAMENTO!E111)),OFFSET($D111,1,$C111,ROW($C$165)-ROW($C111)),0))</f>
        <v>0</v>
      </c>
      <c r="L111" s="116" t="str">
        <f ca="1">IF(OR($X111&gt;0,$C111=1,$C111=2,$C111=3,$C111=4),"F","")</f>
        <v>F</v>
      </c>
      <c r="M111" s="117" t="s">
        <v>199</v>
      </c>
      <c r="N111" s="118" t="str">
        <f ca="1">CHOOSE(1+LOG(1+2*(C111=1)+4*(C111=2)+8*(C111=3)+16*(C111=4)+32*(C111="S"),2),"","Meta","Nível 2","Nível 3","Nível 4","Serviço")</f>
        <v>Serviço</v>
      </c>
      <c r="O111" s="119" t="str">
        <f ca="1">IF(OR($C111=0,$L111=""),"-",CONCATENATE(E111&amp;".",IF(AND($A$5&gt;=2,$C111&gt;=2),F111&amp;".",""),IF(AND($A$5&gt;=3,$C111&gt;=3),G111&amp;".",""),IF(AND($A$5&gt;=4,$C111&gt;=4),H111&amp;".",""),IF($C111="S",I111&amp;".","")))</f>
        <v>6.3.13.</v>
      </c>
      <c r="P111" s="120" t="s">
        <v>247</v>
      </c>
      <c r="Q111" s="121" t="s">
        <v>505</v>
      </c>
      <c r="R111" s="122" t="str">
        <f ca="1">IF($C111="S",REFERENCIA.Descricao,"(digite a descrição aqui)")</f>
        <v>JOELHO 45 GRAUS, PVC, SERIE NORMAL, ESGOTO PREDIAL, DN 50 MM, JUNTA ELÁSTICA, FORNECIDO E INSTALADO EM RAMAL DE DESCARGA OU RAMAL DE ESGOTO SANITÁRIO. AF_08/2022</v>
      </c>
      <c r="S111" s="123" t="str">
        <f ca="1">REFERENCIA.Unidade</f>
        <v>UN</v>
      </c>
      <c r="T111" s="124">
        <f ca="1">OFFSET(CÁLCULO!H$15,ROW($T111)-ROW(T$15),0)</f>
        <v>5</v>
      </c>
      <c r="U111" s="125">
        <f t="shared" ca="1" si="32"/>
        <v>18.98</v>
      </c>
      <c r="V111" s="126" t="s">
        <v>156</v>
      </c>
      <c r="W111" s="124">
        <f ca="1">IF($C111="S",ROUND(IF(TIPOORCAMENTO="Proposto",ORÇAMENTO.CustoUnitario*(1+$AH111),ORÇAMENTO.PrecoUnitarioLicitado),15-13*$AF$10),0)</f>
        <v>22.84</v>
      </c>
      <c r="X111" s="127">
        <f ca="1">IF($C111="S",IF(Import.TipoArredondamento&lt;&gt;"TransfereGOV",VTOTAL1,SUM(OFFSET(CÁLCULO!$AA$15,ROW($X111)-ROW($X$15),1):OFFSET(CÁLCULO!$AL$15,ROW($X111)-ROW($X$15),-1))),IF($C111=0,0,ROUND(SomaAgrup,15-13*$AF$11)))</f>
        <v>114.2</v>
      </c>
      <c r="Y111" s="128" t="s">
        <v>245</v>
      </c>
      <c r="Z111" t="str">
        <f ca="1">IF(AND($C111="S",$X111&gt;0),IF(ISBLANK($Y111),"RA",LEFT($Y111,2)),"")</f>
        <v>RA</v>
      </c>
      <c r="AA111" s="129">
        <f ca="1">IF($C111="S",IF($Z111="CP",$X111,IF($Z111="RA",(($X111)*QCI!$AA$3),0)),SomaAgrup)</f>
        <v>114.2</v>
      </c>
      <c r="AB111" s="130">
        <f ca="1">IF($C111="S",IF($Z111="OU",ROUND($X111,2),0),SomaAgrup)</f>
        <v>0</v>
      </c>
      <c r="AC111" s="131" t="str">
        <f ca="1">IF($N111="","",IF(ORÇAMENTO.Descricao="","DESCRIÇÃO",IF(AND($C111="S",ORÇAMENTO.Unidade=""),"UNIDADE",IF($X111&lt;0,"VALOR NEGATIVO",IF(OR(AND(TIPOORCAMENTO="Proposto",$AG111&lt;&gt;"",$AG111&gt;0,ORÇAMENTO.CustoUnitario&gt;$AG111),AND(TIPOORCAMENTO="LICITADO",ORÇAMENTO.PrecoUnitarioLicitado&gt;$AN111)),"ACIMA REF.","")))))</f>
        <v/>
      </c>
      <c r="AD111" t="str">
        <f ca="1">IF(C111&lt;=CRONO.NivelExibicao,MAX($AD$15:OFFSET(AD111,-1,0))+IF($C111&lt;&gt;1,1,MAX(1,COUNTIF(QCI!$A$13:$A$24,OFFSET($E111,-1,0)))),"")</f>
        <v/>
      </c>
      <c r="AE111" s="7" t="str">
        <f ca="1">IF(AND($C111="S",ORÇAMENTO.CodBarra&lt;&gt;""),IF(ORÇAMENTO.Fonte="",ORÇAMENTO.CodBarra,CONCATENATE(ORÇAMENTO.Fonte," ",ORÇAMENTO.CodBarra)))</f>
        <v>SINAPI 89732</v>
      </c>
      <c r="AF111" s="13">
        <f ca="1">IF(ISERROR(INDIRECT(ORÇAMENTO.BancoRef)),"(abra o arquivo 'Referência "&amp;Excel_BuiltIn_Database&amp;".xlsm)",IF(OR($C111&lt;&gt;"S",ORÇAMENTO.CodBarra=""),"(Sem Código)",IF(ISERROR(MATCH($AE111,INDIRECT(ORÇAMENTO.BancoRef),0)),"(Código não identificado nas referências)",MATCH($AE111,INDIRECT(ORÇAMENTO.BancoRef),0))))</f>
        <v>11906</v>
      </c>
      <c r="AG111" s="498">
        <f ca="1">ROUND(IF(DESONERACAO="sim",REFERENCIA.Desonerado,REFERENCIA.NaoDesonerado),2)</f>
        <v>18.98</v>
      </c>
      <c r="AH111" s="499">
        <f ca="1">ROUND(IF(ISNUMBER(ORÇAMENTO.OpcaoBDI),ORÇAMENTO.OpcaoBDI,IF(LEFT(ORÇAMENTO.OpcaoBDI,3)="BDI",HLOOKUP(ORÇAMENTO.OpcaoBDI,$F$4:$H$5,2,FALSE),0)),15-11*$AF$9)</f>
        <v>0.20349999999999999</v>
      </c>
      <c r="AJ111" s="501">
        <v>5</v>
      </c>
      <c r="AL111" s="527"/>
      <c r="AM111" s="381">
        <f t="shared" ca="1" si="0"/>
        <v>114.2</v>
      </c>
      <c r="AN111" s="566">
        <f ca="1">ROUND(ORÇAMENTO.CustoUnitario*(1+$AH111),2)</f>
        <v>22.84</v>
      </c>
    </row>
    <row r="112" spans="1:40" ht="38.25" x14ac:dyDescent="0.2">
      <c r="A112" t="str">
        <f t="shared" si="1"/>
        <v>S</v>
      </c>
      <c r="B112">
        <f t="shared" ca="1" si="2"/>
        <v>2</v>
      </c>
      <c r="C112" t="str">
        <f t="shared" ca="1" si="3"/>
        <v>S</v>
      </c>
      <c r="D112">
        <f t="shared" ca="1" si="4"/>
        <v>0</v>
      </c>
      <c r="E112">
        <f ca="1">IF($C112=1,OFFSET(E112,-1,0)+MAX(1,COUNTIF(QCI!$A$13:$A$24,OFFSET(ORÇAMENTO!E112,-1,0))),OFFSET(E112,-1,0))</f>
        <v>6</v>
      </c>
      <c r="F112">
        <f t="shared" ca="1" si="5"/>
        <v>3</v>
      </c>
      <c r="G112">
        <f t="shared" ca="1" si="6"/>
        <v>0</v>
      </c>
      <c r="H112">
        <f t="shared" ca="1" si="7"/>
        <v>0</v>
      </c>
      <c r="I112">
        <f t="shared" ca="1" si="8"/>
        <v>14</v>
      </c>
      <c r="J112">
        <f ca="1">IF(OR($C112="S",$C112=0),0,MATCH(0,OFFSET($D112,1,$C112,ROW($C$165)-ROW($C112)),0))</f>
        <v>0</v>
      </c>
      <c r="K112">
        <f ca="1">IF(OR($C112="S",$C112=0),0,MATCH(OFFSET($D112,0,$C112)+IF($C112&lt;&gt;1,1,COUNTIF(QCI!$A$13:$A$24,ORÇAMENTO!E112)),OFFSET($D112,1,$C112,ROW($C$165)-ROW($C112)),0))</f>
        <v>0</v>
      </c>
      <c r="L112" s="116" t="str">
        <f t="shared" ca="1" si="9"/>
        <v>F</v>
      </c>
      <c r="M112" s="117" t="s">
        <v>199</v>
      </c>
      <c r="N112" s="118" t="str">
        <f t="shared" ca="1" si="10"/>
        <v>Serviço</v>
      </c>
      <c r="O112" s="119" t="str">
        <f t="shared" ca="1" si="11"/>
        <v>6.3.14.</v>
      </c>
      <c r="P112" s="120" t="s">
        <v>449</v>
      </c>
      <c r="Q112" s="121" t="s">
        <v>506</v>
      </c>
      <c r="R112" s="122" t="str">
        <f ca="1">IF($C112="S",REFERENCIA.Descricao,"(digite a descrição aqui)")</f>
        <v>FOSSA SEPTICA, SEM FILTRO, EM POLIETILENO DE ALTA DENSIDADE (PEAD), PARA 4 A 7 CONTRIBUINTES, CILINDRICA, COM TAMPA, CAPACIDADE APROXIMADA DE *1100* LITROS (NBR 7229)</v>
      </c>
      <c r="S112" s="123" t="str">
        <f ca="1">REFERENCIA.Unidade</f>
        <v>UN</v>
      </c>
      <c r="T112" s="124">
        <f ca="1">OFFSET(CÁLCULO!H$15,ROW($T112)-ROW(T$15),0)</f>
        <v>1</v>
      </c>
      <c r="U112" s="125">
        <f t="shared" ca="1" si="32"/>
        <v>1770.74</v>
      </c>
      <c r="V112" s="126" t="s">
        <v>156</v>
      </c>
      <c r="W112" s="124">
        <f ca="1">IF($C112="S",ROUND(IF(TIPOORCAMENTO="Proposto",ORÇAMENTO.CustoUnitario*(1+$AH112),ORÇAMENTO.PrecoUnitarioLicitado),15-13*$AF$10),0)</f>
        <v>2131.09</v>
      </c>
      <c r="X112" s="127">
        <f ca="1">IF($C112="S",IF(Import.TipoArredondamento&lt;&gt;"TransfereGOV",VTOTAL1,SUM(OFFSET(CÁLCULO!$AA$15,ROW($X112)-ROW($X$15),1):OFFSET(CÁLCULO!$AL$15,ROW($X112)-ROW($X$15),-1))),IF($C112=0,0,ROUND(SomaAgrup,15-13*$AF$11)))</f>
        <v>2131.09</v>
      </c>
      <c r="Y112" s="128" t="s">
        <v>245</v>
      </c>
      <c r="Z112" t="str">
        <f t="shared" ca="1" si="12"/>
        <v>RA</v>
      </c>
      <c r="AA112" s="129">
        <f ca="1">IF($C112="S",IF($Z112="CP",$X112,IF($Z112="RA",(($X112)*QCI!$AA$3),0)),SomaAgrup)</f>
        <v>2131.09</v>
      </c>
      <c r="AB112" s="130">
        <f t="shared" ca="1" si="13"/>
        <v>0</v>
      </c>
      <c r="AC112" s="131" t="str">
        <f ca="1">IF($N112="","",IF(ORÇAMENTO.Descricao="","DESCRIÇÃO",IF(AND($C112="S",ORÇAMENTO.Unidade=""),"UNIDADE",IF($X112&lt;0,"VALOR NEGATIVO",IF(OR(AND(TIPOORCAMENTO="Proposto",$AG112&lt;&gt;"",$AG112&gt;0,ORÇAMENTO.CustoUnitario&gt;$AG112),AND(TIPOORCAMENTO="LICITADO",ORÇAMENTO.PrecoUnitarioLicitado&gt;$AN112)),"ACIMA REF.","")))))</f>
        <v/>
      </c>
      <c r="AD112" t="str">
        <f ca="1">IF(C112&lt;=CRONO.NivelExibicao,MAX($AD$15:OFFSET(AD112,-1,0))+IF($C112&lt;&gt;1,1,MAX(1,COUNTIF(QCI!$A$13:$A$24,OFFSET($E112,-1,0)))),"")</f>
        <v/>
      </c>
      <c r="AE112" s="7" t="str">
        <f ca="1">IF(AND($C112="S",ORÇAMENTO.CodBarra&lt;&gt;""),IF(ORÇAMENTO.Fonte="",ORÇAMENTO.CodBarra,CONCATENATE(ORÇAMENTO.Fonte," ",ORÇAMENTO.CodBarra)))</f>
        <v>SINAPI-I 39361</v>
      </c>
      <c r="AF112" s="13">
        <f ca="1">IF(ISERROR(INDIRECT(ORÇAMENTO.BancoRef)),"(abra o arquivo 'Referência "&amp;Excel_BuiltIn_Database&amp;".xlsm)",IF(OR($C112&lt;&gt;"S",ORÇAMENTO.CodBarra=""),"(Sem Código)",IF(ISERROR(MATCH($AE112,INDIRECT(ORÇAMENTO.BancoRef),0)),"(Código não identificado nas referências)",MATCH($AE112,INDIRECT(ORÇAMENTO.BancoRef),0))))</f>
        <v>2155</v>
      </c>
      <c r="AG112" s="498">
        <f ca="1">ROUND(IF(DESONERACAO="sim",REFERENCIA.Desonerado,REFERENCIA.NaoDesonerado),2)</f>
        <v>1770.74</v>
      </c>
      <c r="AH112" s="499">
        <f t="shared" ca="1" si="14"/>
        <v>0.20349999999999999</v>
      </c>
      <c r="AJ112" s="501">
        <v>1</v>
      </c>
      <c r="AL112" s="527"/>
      <c r="AM112" s="381">
        <f t="shared" ca="1" si="0"/>
        <v>2131.09</v>
      </c>
      <c r="AN112" s="566">
        <f t="shared" ca="1" si="15"/>
        <v>2131.09</v>
      </c>
    </row>
    <row r="113" spans="1:40" ht="25.5" x14ac:dyDescent="0.2">
      <c r="A113" t="str">
        <f t="shared" si="1"/>
        <v>S</v>
      </c>
      <c r="B113">
        <f t="shared" ca="1" si="2"/>
        <v>2</v>
      </c>
      <c r="C113" t="str">
        <f t="shared" ca="1" si="3"/>
        <v>S</v>
      </c>
      <c r="D113">
        <f t="shared" ca="1" si="4"/>
        <v>0</v>
      </c>
      <c r="E113">
        <f ca="1">IF($C113=1,OFFSET(E113,-1,0)+MAX(1,COUNTIF(QCI!$A$13:$A$24,OFFSET(ORÇAMENTO!E113,-1,0))),OFFSET(E113,-1,0))</f>
        <v>6</v>
      </c>
      <c r="F113">
        <f t="shared" ca="1" si="5"/>
        <v>3</v>
      </c>
      <c r="G113">
        <f t="shared" ca="1" si="6"/>
        <v>0</v>
      </c>
      <c r="H113">
        <f t="shared" ca="1" si="7"/>
        <v>0</v>
      </c>
      <c r="I113">
        <f t="shared" ca="1" si="8"/>
        <v>15</v>
      </c>
      <c r="J113">
        <f ca="1">IF(OR($C113="S",$C113=0),0,MATCH(0,OFFSET($D113,1,$C113,ROW($C$165)-ROW($C113)),0))</f>
        <v>0</v>
      </c>
      <c r="K113">
        <f ca="1">IF(OR($C113="S",$C113=0),0,MATCH(OFFSET($D113,0,$C113)+IF($C113&lt;&gt;1,1,COUNTIF(QCI!$A$13:$A$24,ORÇAMENTO!E113)),OFFSET($D113,1,$C113,ROW($C$165)-ROW($C113)),0))</f>
        <v>0</v>
      </c>
      <c r="L113" s="116" t="str">
        <f t="shared" ca="1" si="9"/>
        <v>F</v>
      </c>
      <c r="M113" s="117" t="s">
        <v>199</v>
      </c>
      <c r="N113" s="118" t="str">
        <f t="shared" ca="1" si="10"/>
        <v>Serviço</v>
      </c>
      <c r="O113" s="119" t="str">
        <f t="shared" ca="1" si="11"/>
        <v>6.3.15.</v>
      </c>
      <c r="P113" s="120" t="s">
        <v>449</v>
      </c>
      <c r="Q113" s="121" t="s">
        <v>507</v>
      </c>
      <c r="R113" s="122" t="str">
        <f ca="1">IF($C113="S",REFERENCIA.Descricao,"(digite a descrição aqui)")</f>
        <v>FILTRO ANAEROBIO, EM POLIETILENO DE ALTA DENSIDADE (PEAD), CAPACIDADE *1100* LITROS (NBR 13969)</v>
      </c>
      <c r="S113" s="123" t="str">
        <f ca="1">REFERENCIA.Unidade</f>
        <v>UN</v>
      </c>
      <c r="T113" s="124">
        <f ca="1">OFFSET(CÁLCULO!H$15,ROW($T113)-ROW(T$15),0)</f>
        <v>1</v>
      </c>
      <c r="U113" s="125">
        <f t="shared" ca="1" si="32"/>
        <v>1966.33</v>
      </c>
      <c r="V113" s="126" t="s">
        <v>156</v>
      </c>
      <c r="W113" s="124">
        <f ca="1">IF($C113="S",ROUND(IF(TIPOORCAMENTO="Proposto",ORÇAMENTO.CustoUnitario*(1+$AH113),ORÇAMENTO.PrecoUnitarioLicitado),15-13*$AF$10),0)</f>
        <v>2366.48</v>
      </c>
      <c r="X113" s="127">
        <f ca="1">IF($C113="S",IF(Import.TipoArredondamento&lt;&gt;"TransfereGOV",VTOTAL1,SUM(OFFSET(CÁLCULO!$AA$15,ROW($X113)-ROW($X$15),1):OFFSET(CÁLCULO!$AL$15,ROW($X113)-ROW($X$15),-1))),IF($C113=0,0,ROUND(SomaAgrup,15-13*$AF$11)))</f>
        <v>2366.48</v>
      </c>
      <c r="Y113" s="128" t="s">
        <v>245</v>
      </c>
      <c r="Z113" t="str">
        <f t="shared" ca="1" si="12"/>
        <v>RA</v>
      </c>
      <c r="AA113" s="129">
        <f ca="1">IF($C113="S",IF($Z113="CP",$X113,IF($Z113="RA",(($X113)*QCI!$AA$3),0)),SomaAgrup)</f>
        <v>2366.48</v>
      </c>
      <c r="AB113" s="130">
        <f t="shared" ca="1" si="13"/>
        <v>0</v>
      </c>
      <c r="AC113" s="131" t="str">
        <f ca="1">IF($N113="","",IF(ORÇAMENTO.Descricao="","DESCRIÇÃO",IF(AND($C113="S",ORÇAMENTO.Unidade=""),"UNIDADE",IF($X113&lt;0,"VALOR NEGATIVO",IF(OR(AND(TIPOORCAMENTO="Proposto",$AG113&lt;&gt;"",$AG113&gt;0,ORÇAMENTO.CustoUnitario&gt;$AG113),AND(TIPOORCAMENTO="LICITADO",ORÇAMENTO.PrecoUnitarioLicitado&gt;$AN113)),"ACIMA REF.","")))))</f>
        <v/>
      </c>
      <c r="AD113" t="str">
        <f ca="1">IF(C113&lt;=CRONO.NivelExibicao,MAX($AD$15:OFFSET(AD113,-1,0))+IF($C113&lt;&gt;1,1,MAX(1,COUNTIF(QCI!$A$13:$A$24,OFFSET($E113,-1,0)))),"")</f>
        <v/>
      </c>
      <c r="AE113" s="7" t="str">
        <f ca="1">IF(AND($C113="S",ORÇAMENTO.CodBarra&lt;&gt;""),IF(ORÇAMENTO.Fonte="",ORÇAMENTO.CodBarra,CONCATENATE(ORÇAMENTO.Fonte," ",ORÇAMENTO.CodBarra)))</f>
        <v>SINAPI-I 39365</v>
      </c>
      <c r="AF113" s="13">
        <f ca="1">IF(ISERROR(INDIRECT(ORÇAMENTO.BancoRef)),"(abra o arquivo 'Referência "&amp;Excel_BuiltIn_Database&amp;".xlsm)",IF(OR($C113&lt;&gt;"S",ORÇAMENTO.CodBarra=""),"(Sem Código)",IF(ISERROR(MATCH($AE113,INDIRECT(ORÇAMENTO.BancoRef),0)),"(Código não identificado nas referências)",MATCH($AE113,INDIRECT(ORÇAMENTO.BancoRef),0))))</f>
        <v>2095</v>
      </c>
      <c r="AG113" s="498">
        <f ca="1">ROUND(IF(DESONERACAO="sim",REFERENCIA.Desonerado,REFERENCIA.NaoDesonerado),2)</f>
        <v>1966.33</v>
      </c>
      <c r="AH113" s="499">
        <f t="shared" ca="1" si="14"/>
        <v>0.20349999999999999</v>
      </c>
      <c r="AJ113" s="501">
        <v>1</v>
      </c>
      <c r="AL113" s="527"/>
      <c r="AM113" s="381">
        <f t="shared" ca="1" si="0"/>
        <v>2366.48</v>
      </c>
      <c r="AN113" s="566">
        <f t="shared" ca="1" si="15"/>
        <v>2366.48</v>
      </c>
    </row>
    <row r="114" spans="1:40" x14ac:dyDescent="0.2">
      <c r="A114" t="str">
        <f t="shared" si="1"/>
        <v>S</v>
      </c>
      <c r="B114">
        <f t="shared" ca="1" si="2"/>
        <v>2</v>
      </c>
      <c r="C114" t="str">
        <f t="shared" ca="1" si="3"/>
        <v>S</v>
      </c>
      <c r="D114">
        <f t="shared" ca="1" si="4"/>
        <v>0</v>
      </c>
      <c r="E114">
        <f ca="1">IF($C114=1,OFFSET(E114,-1,0)+MAX(1,COUNTIF(QCI!$A$13:$A$24,OFFSET(ORÇAMENTO!E114,-1,0))),OFFSET(E114,-1,0))</f>
        <v>6</v>
      </c>
      <c r="F114">
        <f t="shared" ca="1" si="5"/>
        <v>3</v>
      </c>
      <c r="G114">
        <f t="shared" ca="1" si="6"/>
        <v>0</v>
      </c>
      <c r="H114">
        <f t="shared" ca="1" si="7"/>
        <v>0</v>
      </c>
      <c r="I114">
        <f t="shared" ca="1" si="8"/>
        <v>16</v>
      </c>
      <c r="J114">
        <f ca="1">IF(OR($C114="S",$C114=0),0,MATCH(0,OFFSET($D114,1,$C114,ROW($C$165)-ROW($C114)),0))</f>
        <v>0</v>
      </c>
      <c r="K114">
        <f ca="1">IF(OR($C114="S",$C114=0),0,MATCH(OFFSET($D114,0,$C114)+IF($C114&lt;&gt;1,1,COUNTIF(QCI!$A$13:$A$24,ORÇAMENTO!E114)),OFFSET($D114,1,$C114,ROW($C$165)-ROW($C114)),0))</f>
        <v>0</v>
      </c>
      <c r="L114" s="116" t="str">
        <f t="shared" ca="1" si="9"/>
        <v>F</v>
      </c>
      <c r="M114" s="117" t="s">
        <v>199</v>
      </c>
      <c r="N114" s="118" t="str">
        <f t="shared" ca="1" si="10"/>
        <v>Serviço</v>
      </c>
      <c r="O114" s="119" t="str">
        <f t="shared" ca="1" si="11"/>
        <v>6.3.16.</v>
      </c>
      <c r="P114" s="120" t="s">
        <v>491</v>
      </c>
      <c r="Q114" s="121" t="s">
        <v>508</v>
      </c>
      <c r="R114" s="122" t="str">
        <f ca="1">IF($C114="S",REFERENCIA.Descricao,"(digite a descrição aqui)")</f>
        <v>SUMIDOURO</v>
      </c>
      <c r="S114" s="123" t="str">
        <f ca="1">REFERENCIA.Unidade</f>
        <v>UN</v>
      </c>
      <c r="T114" s="124">
        <f ca="1">OFFSET(CÁLCULO!H$15,ROW($T114)-ROW(T$15),0)</f>
        <v>1</v>
      </c>
      <c r="U114" s="125">
        <f t="shared" ref="U114:U115" ca="1" si="108">AG114</f>
        <v>1777.38</v>
      </c>
      <c r="V114" s="126" t="s">
        <v>156</v>
      </c>
      <c r="W114" s="124">
        <f ca="1">IF($C114="S",ROUND(IF(TIPOORCAMENTO="Proposto",ORÇAMENTO.CustoUnitario*(1+$AH114),ORÇAMENTO.PrecoUnitarioLicitado),15-13*$AF$10),0)</f>
        <v>2139.08</v>
      </c>
      <c r="X114" s="127">
        <f ca="1">IF($C114="S",IF(Import.TipoArredondamento&lt;&gt;"TransfereGOV",VTOTAL1,SUM(OFFSET(CÁLCULO!$AA$15,ROW($X114)-ROW($X$15),1):OFFSET(CÁLCULO!$AL$15,ROW($X114)-ROW($X$15),-1))),IF($C114=0,0,ROUND(SomaAgrup,15-13*$AF$11)))</f>
        <v>2139.08</v>
      </c>
      <c r="Y114" s="128" t="s">
        <v>245</v>
      </c>
      <c r="Z114" t="str">
        <f t="shared" ca="1" si="12"/>
        <v>RA</v>
      </c>
      <c r="AA114" s="129">
        <f ca="1">IF($C114="S",IF($Z114="CP",$X114,IF($Z114="RA",(($X114)*QCI!$AA$3),0)),SomaAgrup)</f>
        <v>2139.08</v>
      </c>
      <c r="AB114" s="130">
        <f t="shared" ca="1" si="13"/>
        <v>0</v>
      </c>
      <c r="AC114" s="131" t="str">
        <f ca="1">IF($N114="","",IF(ORÇAMENTO.Descricao="","DESCRIÇÃO",IF(AND($C114="S",ORÇAMENTO.Unidade=""),"UNIDADE",IF($X114&lt;0,"VALOR NEGATIVO",IF(OR(AND(TIPOORCAMENTO="Proposto",$AG114&lt;&gt;"",$AG114&gt;0,ORÇAMENTO.CustoUnitario&gt;$AG114),AND(TIPOORCAMENTO="LICITADO",ORÇAMENTO.PrecoUnitarioLicitado&gt;$AN114)),"ACIMA REF.","")))))</f>
        <v/>
      </c>
      <c r="AD114" t="str">
        <f ca="1">IF(C114&lt;=CRONO.NivelExibicao,MAX($AD$15:OFFSET(AD114,-1,0))+IF($C114&lt;&gt;1,1,MAX(1,COUNTIF(QCI!$A$13:$A$24,OFFSET($E114,-1,0)))),"")</f>
        <v/>
      </c>
      <c r="AE114" s="7" t="str">
        <f ca="1">IF(AND($C114="S",ORÇAMENTO.CodBarra&lt;&gt;""),IF(ORÇAMENTO.Fonte="",ORÇAMENTO.CodBarra,CONCATENATE(ORÇAMENTO.Fonte," ",ORÇAMENTO.CodBarra)))</f>
        <v>Composição 03</v>
      </c>
      <c r="AF114" s="13">
        <f ca="1">IF(ISERROR(INDIRECT(ORÇAMENTO.BancoRef)),"(abra o arquivo 'Referência "&amp;Excel_BuiltIn_Database&amp;".xlsm)",IF(OR($C114&lt;&gt;"S",ORÇAMENTO.CodBarra=""),"(Sem Código)",IF(ISERROR(MATCH($AE114,INDIRECT(ORÇAMENTO.BancoRef),0)),"(Código não identificado nas referências)",MATCH($AE114,INDIRECT(ORÇAMENTO.BancoRef),0))))</f>
        <v>5</v>
      </c>
      <c r="AG114" s="498">
        <f ca="1">ROUND(IF(DESONERACAO="sim",REFERENCIA.Desonerado,REFERENCIA.NaoDesonerado),2)</f>
        <v>1777.38</v>
      </c>
      <c r="AH114" s="499">
        <f t="shared" ca="1" si="14"/>
        <v>0.20349999999999999</v>
      </c>
      <c r="AJ114" s="501">
        <v>1</v>
      </c>
      <c r="AL114" s="527"/>
      <c r="AM114" s="381">
        <f t="shared" ca="1" si="0"/>
        <v>2139.08</v>
      </c>
      <c r="AN114" s="566">
        <f t="shared" ca="1" si="15"/>
        <v>2139.08</v>
      </c>
    </row>
    <row r="115" spans="1:40" ht="25.5" x14ac:dyDescent="0.2">
      <c r="A115" t="str">
        <f>CHOOSE(1+LOG(1+2*(ORÇAMENTO.Nivel="Meta")+4*(ORÇAMENTO.Nivel="Nível 2")+8*(ORÇAMENTO.Nivel="Nível 3")+16*(ORÇAMENTO.Nivel="Nível 4")+32*(ORÇAMENTO.Nivel="Serviço"),2),0,1,2,3,4,"S")</f>
        <v>S</v>
      </c>
      <c r="B115">
        <f ca="1">IF(OR(C115="s",C115=0),OFFSET(B115,-1,0),C115)</f>
        <v>2</v>
      </c>
      <c r="C115" t="str">
        <f ca="1">IF(OFFSET(C115,-1,0)="L",1,IF(OFFSET(C115,-1,0)=1,2,IF(OR(A115="s",A115=0),"S",IF(AND(OFFSET(C115,-1,0)=2,A115=4),3,IF(AND(OR(OFFSET(C115,-1,0)="s",OFFSET(C115,-1,0)=0),A115&lt;&gt;"s",A115&gt;OFFSET(B115,-1,0)),OFFSET(B115,-1,0),A115)))))</f>
        <v>S</v>
      </c>
      <c r="D115">
        <f ca="1">IF(OR(C115="S",C115=0),0,IF(ISERROR(K115),J115,SMALL(J115:K115,1)))</f>
        <v>0</v>
      </c>
      <c r="E115">
        <f ca="1">IF($C115=1,OFFSET(E115,-1,0)+MAX(1,COUNTIF(QCI!$A$13:$A$24,OFFSET(ORÇAMENTO!E115,-1,0))),OFFSET(E115,-1,0))</f>
        <v>6</v>
      </c>
      <c r="F115">
        <f ca="1">IF($C115=1,0,IF($C115=2,OFFSET(F115,-1,0)+1,OFFSET(F115,-1,0)))</f>
        <v>3</v>
      </c>
      <c r="G115">
        <f ca="1">IF(AND($C115&lt;=2,$C115&lt;&gt;0),0,IF($C115=3,OFFSET(G115,-1,0)+1,OFFSET(G115,-1,0)))</f>
        <v>0</v>
      </c>
      <c r="H115">
        <f ca="1">IF(AND($C115&lt;=3,$C115&lt;&gt;0),0,IF($C115=4,OFFSET(H115,-1,0)+1,OFFSET(H115,-1,0)))</f>
        <v>0</v>
      </c>
      <c r="I115">
        <f ca="1">IF(AND($C115&lt;=4,$C115&lt;&gt;0),0,IF(AND($C115="S",$X115&gt;0),OFFSET(I115,-1,0)+1,OFFSET(I115,-1,0)))</f>
        <v>17</v>
      </c>
      <c r="J115">
        <f ca="1">IF(OR($C115="S",$C115=0),0,MATCH(0,OFFSET($D115,1,$C115,ROW($C$165)-ROW($C115)),0))</f>
        <v>0</v>
      </c>
      <c r="K115">
        <f ca="1">IF(OR($C115="S",$C115=0),0,MATCH(OFFSET($D115,0,$C115)+IF($C115&lt;&gt;1,1,COUNTIF(QCI!$A$13:$A$24,ORÇAMENTO!E115)),OFFSET($D115,1,$C115,ROW($C$165)-ROW($C115)),0))</f>
        <v>0</v>
      </c>
      <c r="L115" s="116" t="str">
        <f ca="1">IF(OR($X115&gt;0,$C115=1,$C115=2,$C115=3,$C115=4),"F","")</f>
        <v>F</v>
      </c>
      <c r="M115" s="117" t="s">
        <v>199</v>
      </c>
      <c r="N115" s="118" t="str">
        <f ca="1">CHOOSE(1+LOG(1+2*(C115=1)+4*(C115=2)+8*(C115=3)+16*(C115=4)+32*(C115="S"),2),"","Meta","Nível 2","Nível 3","Nível 4","Serviço")</f>
        <v>Serviço</v>
      </c>
      <c r="O115" s="119" t="str">
        <f ca="1">IF(OR($C115=0,$L115=""),"-",CONCATENATE(E115&amp;".",IF(AND($A$5&gt;=2,$C115&gt;=2),F115&amp;".",""),IF(AND($A$5&gt;=3,$C115&gt;=3),G115&amp;".",""),IF(AND($A$5&gt;=4,$C115&gt;=4),H115&amp;".",""),IF($C115="S",I115&amp;".","")))</f>
        <v>6.3.17.</v>
      </c>
      <c r="P115" s="120" t="s">
        <v>247</v>
      </c>
      <c r="Q115" s="121" t="s">
        <v>517</v>
      </c>
      <c r="R115" s="122" t="str">
        <f ca="1">IF($C115="S",REFERENCIA.Descricao,"(digite a descrição aqui)")</f>
        <v>CAIXA DE GORDURA PEQUENA (CAPACIDADE: 19 L), CIRCULAR, EM PVC, DIÂMETRO INTERNO= 0,3 M. AF_12/2020</v>
      </c>
      <c r="S115" s="123" t="str">
        <f ca="1">REFERENCIA.Unidade</f>
        <v>UN</v>
      </c>
      <c r="T115" s="124">
        <f ca="1">OFFSET(CÁLCULO!H$15,ROW($T115)-ROW(T$15),0)</f>
        <v>1</v>
      </c>
      <c r="U115" s="125">
        <f t="shared" ca="1" si="108"/>
        <v>432.77</v>
      </c>
      <c r="V115" s="126" t="s">
        <v>156</v>
      </c>
      <c r="W115" s="124">
        <f ca="1">IF($C115="S",ROUND(IF(TIPOORCAMENTO="Proposto",ORÇAMENTO.CustoUnitario*(1+$AH115),ORÇAMENTO.PrecoUnitarioLicitado),15-13*$AF$10),0)</f>
        <v>520.84</v>
      </c>
      <c r="X115" s="127">
        <f ca="1">IF($C115="S",IF(Import.TipoArredondamento&lt;&gt;"TransfereGOV",VTOTAL1,SUM(OFFSET(CÁLCULO!$AA$15,ROW($X115)-ROW($X$15),1):OFFSET(CÁLCULO!$AL$15,ROW($X115)-ROW($X$15),-1))),IF($C115=0,0,ROUND(SomaAgrup,15-13*$AF$11)))</f>
        <v>520.84</v>
      </c>
      <c r="Y115" s="128" t="s">
        <v>245</v>
      </c>
      <c r="Z115" t="str">
        <f ca="1">IF(AND($C115="S",$X115&gt;0),IF(ISBLANK($Y115),"RA",LEFT($Y115,2)),"")</f>
        <v>RA</v>
      </c>
      <c r="AA115" s="129">
        <f ca="1">IF($C115="S",IF($Z115="CP",$X115,IF($Z115="RA",(($X115)*QCI!$AA$3),0)),SomaAgrup)</f>
        <v>520.84</v>
      </c>
      <c r="AB115" s="130">
        <f ca="1">IF($C115="S",IF($Z115="OU",ROUND($X115,2),0),SomaAgrup)</f>
        <v>0</v>
      </c>
      <c r="AC115" s="131" t="str">
        <f ca="1">IF($N115="","",IF(ORÇAMENTO.Descricao="","DESCRIÇÃO",IF(AND($C115="S",ORÇAMENTO.Unidade=""),"UNIDADE",IF($X115&lt;0,"VALOR NEGATIVO",IF(OR(AND(TIPOORCAMENTO="Proposto",$AG115&lt;&gt;"",$AG115&gt;0,ORÇAMENTO.CustoUnitario&gt;$AG115),AND(TIPOORCAMENTO="LICITADO",ORÇAMENTO.PrecoUnitarioLicitado&gt;$AN115)),"ACIMA REF.","")))))</f>
        <v/>
      </c>
      <c r="AD115" t="str">
        <f ca="1">IF(C115&lt;=CRONO.NivelExibicao,MAX($AD$15:OFFSET(AD115,-1,0))+IF($C115&lt;&gt;1,1,MAX(1,COUNTIF(QCI!$A$13:$A$24,OFFSET($E115,-1,0)))),"")</f>
        <v/>
      </c>
      <c r="AE115" s="7" t="str">
        <f ca="1">IF(AND($C115="S",ORÇAMENTO.CodBarra&lt;&gt;""),IF(ORÇAMENTO.Fonte="",ORÇAMENTO.CodBarra,CONCATENATE(ORÇAMENTO.Fonte," ",ORÇAMENTO.CodBarra)))</f>
        <v>SINAPI 98110</v>
      </c>
      <c r="AF115" s="13">
        <f ca="1">IF(ISERROR(INDIRECT(ORÇAMENTO.BancoRef)),"(abra o arquivo 'Referência "&amp;Excel_BuiltIn_Database&amp;".xlsm)",IF(OR($C115&lt;&gt;"S",ORÇAMENTO.CodBarra=""),"(Sem Código)",IF(ISERROR(MATCH($AE115,INDIRECT(ORÇAMENTO.BancoRef),0)),"(Código não identificado nas referências)",MATCH($AE115,INDIRECT(ORÇAMENTO.BancoRef),0))))</f>
        <v>7292</v>
      </c>
      <c r="AG115" s="498">
        <f ca="1">ROUND(IF(DESONERACAO="sim",REFERENCIA.Desonerado,REFERENCIA.NaoDesonerado),2)</f>
        <v>432.77</v>
      </c>
      <c r="AH115" s="499">
        <f ca="1">ROUND(IF(ISNUMBER(ORÇAMENTO.OpcaoBDI),ORÇAMENTO.OpcaoBDI,IF(LEFT(ORÇAMENTO.OpcaoBDI,3)="BDI",HLOOKUP(ORÇAMENTO.OpcaoBDI,$F$4:$H$5,2,FALSE),0)),15-11*$AF$9)</f>
        <v>0.20349999999999999</v>
      </c>
      <c r="AJ115" s="501">
        <v>1</v>
      </c>
      <c r="AL115" s="527"/>
      <c r="AM115" s="381">
        <f t="shared" ca="1" si="0"/>
        <v>520.84</v>
      </c>
      <c r="AN115" s="566">
        <f ca="1">ROUND(ORÇAMENTO.CustoUnitario*(1+$AH115),2)</f>
        <v>520.84</v>
      </c>
    </row>
    <row r="116" spans="1:40" x14ac:dyDescent="0.2">
      <c r="A116">
        <f>CHOOSE(1+LOG(1+2*(ORÇAMENTO.Nivel="Meta")+4*(ORÇAMENTO.Nivel="Nível 2")+8*(ORÇAMENTO.Nivel="Nível 3")+16*(ORÇAMENTO.Nivel="Nível 4")+32*(ORÇAMENTO.Nivel="Serviço"),2),0,1,2,3,4,"S")</f>
        <v>1</v>
      </c>
      <c r="B116">
        <f ca="1">IF(OR(C116="s",C116=0),OFFSET(B116,-1,0),C116)</f>
        <v>1</v>
      </c>
      <c r="C116">
        <f ca="1">IF(OFFSET(C116,-1,0)="L",1,IF(OFFSET(C116,-1,0)=1,2,IF(OR(A116="s",A116=0),"S",IF(AND(OFFSET(C116,-1,0)=2,A116=4),3,IF(AND(OR(OFFSET(C116,-1,0)="s",OFFSET(C116,-1,0)=0),A116&lt;&gt;"s",A116&gt;OFFSET(B116,-1,0)),OFFSET(B116,-1,0),A116)))))</f>
        <v>1</v>
      </c>
      <c r="D116">
        <f ca="1">IF(OR(C116="S",C116=0),0,IF(ISERROR(K116),J116,SMALL(J116:K116,1)))</f>
        <v>6</v>
      </c>
      <c r="E116">
        <f ca="1">IF($C116=1,OFFSET(E116,-1,0)+MAX(1,COUNTIF(QCI!$A$13:$A$24,OFFSET(ORÇAMENTO!E116,-1,0))),OFFSET(E116,-1,0))</f>
        <v>7</v>
      </c>
      <c r="F116">
        <f ca="1">IF($C116=1,0,IF($C116=2,OFFSET(F116,-1,0)+1,OFFSET(F116,-1,0)))</f>
        <v>0</v>
      </c>
      <c r="G116">
        <f ca="1">IF(AND($C116&lt;=2,$C116&lt;&gt;0),0,IF($C116=3,OFFSET(G116,-1,0)+1,OFFSET(G116,-1,0)))</f>
        <v>0</v>
      </c>
      <c r="H116">
        <f ca="1">IF(AND($C116&lt;=3,$C116&lt;&gt;0),0,IF($C116=4,OFFSET(H116,-1,0)+1,OFFSET(H116,-1,0)))</f>
        <v>0</v>
      </c>
      <c r="I116">
        <f ca="1">IF(AND($C116&lt;=4,$C116&lt;&gt;0),0,IF(AND($C116="S",$X116&gt;0),OFFSET(I116,-1,0)+1,OFFSET(I116,-1,0)))</f>
        <v>0</v>
      </c>
      <c r="J116">
        <f ca="1">IF(OR($C116="S",$C116=0),0,MATCH(0,OFFSET($D116,1,$C116,ROW($C$165)-ROW($C116)),0))</f>
        <v>49</v>
      </c>
      <c r="K116">
        <f ca="1">IF(OR($C116="S",$C116=0),0,MATCH(OFFSET($D116,0,$C116)+IF($C116&lt;&gt;1,1,COUNTIF(QCI!$A$13:$A$24,ORÇAMENTO!E116)),OFFSET($D116,1,$C116,ROW($C$165)-ROW($C116)),0))</f>
        <v>6</v>
      </c>
      <c r="L116" s="116" t="str">
        <f ca="1">IF(OR($X116&gt;0,$C116=1,$C116=2,$C116=3,$C116=4),"F","")</f>
        <v>F</v>
      </c>
      <c r="M116" s="117" t="s">
        <v>195</v>
      </c>
      <c r="N116" s="118" t="str">
        <f ca="1">CHOOSE(1+LOG(1+2*(C116=1)+4*(C116=2)+8*(C116=3)+16*(C116=4)+32*(C116="S"),2),"","Meta","Nível 2","Nível 3","Nível 4","Serviço")</f>
        <v>Meta</v>
      </c>
      <c r="O116" s="119" t="str">
        <f ca="1">IF(OR($C116=0,$L116=""),"-",CONCATENATE(E116&amp;".",IF(AND($A$5&gt;=2,$C116&gt;=2),F116&amp;".",""),IF(AND($A$5&gt;=3,$C116&gt;=3),G116&amp;".",""),IF(AND($A$5&gt;=4,$C116&gt;=4),H116&amp;".",""),IF($C116="S",I116&amp;".","")))</f>
        <v>7.</v>
      </c>
      <c r="P116" s="120" t="s">
        <v>247</v>
      </c>
      <c r="Q116" s="121"/>
      <c r="R116" s="122" t="s">
        <v>587</v>
      </c>
      <c r="S116" s="123" t="str">
        <f ca="1">REFERENCIA.Unidade</f>
        <v>-</v>
      </c>
      <c r="T116" s="124">
        <f ca="1">OFFSET(CÁLCULO!H$15,ROW($T116)-ROW(T$15),0)</f>
        <v>0</v>
      </c>
      <c r="U116" s="125"/>
      <c r="V116" s="126" t="s">
        <v>156</v>
      </c>
      <c r="W116" s="124">
        <f ca="1">IF($C116="S",ROUND(IF(TIPOORCAMENTO="Proposto",ORÇAMENTO.CustoUnitario*(1+$AH116),ORÇAMENTO.PrecoUnitarioLicitado),15-13*$AF$10),0)</f>
        <v>0</v>
      </c>
      <c r="X116" s="127">
        <f ca="1">IF($C116="S",IF(Import.TipoArredondamento&lt;&gt;"TransfereGOV",VTOTAL1,SUM(OFFSET(CÁLCULO!$AA$15,ROW($X116)-ROW($X$15),1):OFFSET(CÁLCULO!$AL$15,ROW($X116)-ROW($X$15),-1))),IF($C116=0,0,ROUND(SomaAgrup,15-13*$AF$11)))</f>
        <v>37813.360000000001</v>
      </c>
      <c r="Y116" s="128" t="s">
        <v>245</v>
      </c>
      <c r="Z116" t="str">
        <f ca="1">IF(AND($C116="S",$X116&gt;0),IF(ISBLANK($Y116),"RA",LEFT($Y116,2)),"")</f>
        <v/>
      </c>
      <c r="AA116" s="129">
        <f ca="1">IF($C116="S",IF($Z116="CP",$X116,IF($Z116="RA",(($X116)*QCI!$AA$3),0)),SomaAgrup)</f>
        <v>37813.360000000001</v>
      </c>
      <c r="AB116" s="130">
        <f ca="1">IF($C116="S",IF($Z116="OU",ROUND($X116,2),0),SomaAgrup)</f>
        <v>0</v>
      </c>
      <c r="AC116" s="131" t="str">
        <f ca="1">IF($N116="","",IF(ORÇAMENTO.Descricao="","DESCRIÇÃO",IF(AND($C116="S",ORÇAMENTO.Unidade=""),"UNIDADE",IF($X116&lt;0,"VALOR NEGATIVO",IF(OR(AND(TIPOORCAMENTO="Proposto",$AG116&lt;&gt;"",$AG116&gt;0,ORÇAMENTO.CustoUnitario&gt;$AG116),AND(TIPOORCAMENTO="LICITADO",ORÇAMENTO.PrecoUnitarioLicitado&gt;$AN116)),"ACIMA REF.","")))))</f>
        <v/>
      </c>
      <c r="AD116">
        <f ca="1">IF(C116&lt;=CRONO.NivelExibicao,MAX($AD$15:OFFSET(AD116,-1,0))+IF($C116&lt;&gt;1,1,MAX(1,COUNTIF(QCI!$A$13:$A$24,OFFSET($E116,-1,0)))),"")</f>
        <v>22</v>
      </c>
      <c r="AE116" s="7" t="b">
        <f ca="1">IF(AND($C116="S",ORÇAMENTO.CodBarra&lt;&gt;""),IF(ORÇAMENTO.Fonte="",ORÇAMENTO.CodBarra,CONCATENATE(ORÇAMENTO.Fonte," ",ORÇAMENTO.CodBarra)))</f>
        <v>0</v>
      </c>
      <c r="AF116" s="13" t="str">
        <f ca="1">IF(ISERROR(INDIRECT(ORÇAMENTO.BancoRef)),"(abra o arquivo 'Referência "&amp;Excel_BuiltIn_Database&amp;".xlsm)",IF(OR($C116&lt;&gt;"S",ORÇAMENTO.CodBarra=""),"(Sem Código)",IF(ISERROR(MATCH($AE116,INDIRECT(ORÇAMENTO.BancoRef),0)),"(Código não identificado nas referências)",MATCH($AE116,INDIRECT(ORÇAMENTO.BancoRef),0))))</f>
        <v>(Sem Código)</v>
      </c>
      <c r="AG116" s="498">
        <f ca="1">ROUND(IF(DESONERACAO="sim",REFERENCIA.Desonerado,REFERENCIA.NaoDesonerado),2)</f>
        <v>0</v>
      </c>
      <c r="AH116" s="499">
        <f ca="1">ROUND(IF(ISNUMBER(ORÇAMENTO.OpcaoBDI),ORÇAMENTO.OpcaoBDI,IF(LEFT(ORÇAMENTO.OpcaoBDI,3)="BDI",HLOOKUP(ORÇAMENTO.OpcaoBDI,$F$4:$H$5,2,FALSE),0)),15-11*$AF$9)</f>
        <v>0.20349999999999999</v>
      </c>
      <c r="AJ116" s="501"/>
      <c r="AL116" s="527"/>
      <c r="AM116" s="381">
        <f t="shared" ca="1" si="0"/>
        <v>37813.360000000001</v>
      </c>
      <c r="AN116" s="566">
        <f ca="1">ROUND(ORÇAMENTO.CustoUnitario*(1+$AH116),2)</f>
        <v>0</v>
      </c>
    </row>
    <row r="117" spans="1:40" x14ac:dyDescent="0.2">
      <c r="A117">
        <f t="shared" ref="A117:A124" si="109">CHOOSE(1+LOG(1+2*(ORÇAMENTO.Nivel="Meta")+4*(ORÇAMENTO.Nivel="Nível 2")+8*(ORÇAMENTO.Nivel="Nível 3")+16*(ORÇAMENTO.Nivel="Nível 4")+32*(ORÇAMENTO.Nivel="Serviço"),2),0,1,2,3,4,"S")</f>
        <v>2</v>
      </c>
      <c r="B117">
        <f t="shared" ref="B117:B124" ca="1" si="110">IF(OR(C117="s",C117=0),OFFSET(B117,-1,0),C117)</f>
        <v>2</v>
      </c>
      <c r="C117">
        <f t="shared" ref="C117:C124" ca="1" si="111">IF(OFFSET(C117,-1,0)="L",1,IF(OFFSET(C117,-1,0)=1,2,IF(OR(A117="s",A117=0),"S",IF(AND(OFFSET(C117,-1,0)=2,A117=4),3,IF(AND(OR(OFFSET(C117,-1,0)="s",OFFSET(C117,-1,0)=0),A117&lt;&gt;"s",A117&gt;OFFSET(B117,-1,0)),OFFSET(B117,-1,0),A117)))))</f>
        <v>2</v>
      </c>
      <c r="D117">
        <f t="shared" ref="D117:D124" ca="1" si="112">IF(OR(C117="S",C117=0),0,IF(ISERROR(K117),J117,SMALL(J117:K117,1)))</f>
        <v>5</v>
      </c>
      <c r="E117">
        <f ca="1">IF($C117=1,OFFSET(E117,-1,0)+MAX(1,COUNTIF(QCI!$A$13:$A$24,OFFSET(ORÇAMENTO!E117,-1,0))),OFFSET(E117,-1,0))</f>
        <v>7</v>
      </c>
      <c r="F117">
        <f t="shared" ref="F117:F124" ca="1" si="113">IF($C117=1,0,IF($C117=2,OFFSET(F117,-1,0)+1,OFFSET(F117,-1,0)))</f>
        <v>1</v>
      </c>
      <c r="G117">
        <f t="shared" ref="G117:G124" ca="1" si="114">IF(AND($C117&lt;=2,$C117&lt;&gt;0),0,IF($C117=3,OFFSET(G117,-1,0)+1,OFFSET(G117,-1,0)))</f>
        <v>0</v>
      </c>
      <c r="H117">
        <f t="shared" ref="H117:H124" ca="1" si="115">IF(AND($C117&lt;=3,$C117&lt;&gt;0),0,IF($C117=4,OFFSET(H117,-1,0)+1,OFFSET(H117,-1,0)))</f>
        <v>0</v>
      </c>
      <c r="I117">
        <f t="shared" ref="I117:I124" ca="1" si="116">IF(AND($C117&lt;=4,$C117&lt;&gt;0),0,IF(AND($C117="S",$X117&gt;0),OFFSET(I117,-1,0)+1,OFFSET(I117,-1,0)))</f>
        <v>0</v>
      </c>
      <c r="J117">
        <f ca="1">IF(OR($C117="S",$C117=0),0,MATCH(0,OFFSET($D117,1,$C117,ROW($C$165)-ROW($C117)),0))</f>
        <v>5</v>
      </c>
      <c r="K117">
        <f ca="1">IF(OR($C117="S",$C117=0),0,MATCH(OFFSET($D117,0,$C117)+IF($C117&lt;&gt;1,1,COUNTIF(QCI!$A$13:$A$24,ORÇAMENTO!E117)),OFFSET($D117,1,$C117,ROW($C$165)-ROW($C117)),0))</f>
        <v>10</v>
      </c>
      <c r="L117" s="116" t="str">
        <f t="shared" ref="L117:L124" ca="1" si="117">IF(OR($X117&gt;0,$C117=1,$C117=2,$C117=3,$C117=4),"F","")</f>
        <v>F</v>
      </c>
      <c r="M117" s="117" t="s">
        <v>196</v>
      </c>
      <c r="N117" s="118" t="str">
        <f t="shared" ref="N117:N124" ca="1" si="118">CHOOSE(1+LOG(1+2*(C117=1)+4*(C117=2)+8*(C117=3)+16*(C117=4)+32*(C117="S"),2),"","Meta","Nível 2","Nível 3","Nível 4","Serviço")</f>
        <v>Nível 2</v>
      </c>
      <c r="O117" s="119" t="str">
        <f t="shared" ref="O117:O124" ca="1" si="119">IF(OR($C117=0,$L117=""),"-",CONCATENATE(E117&amp;".",IF(AND($A$5&gt;=2,$C117&gt;=2),F117&amp;".",""),IF(AND($A$5&gt;=3,$C117&gt;=3),G117&amp;".",""),IF(AND($A$5&gt;=4,$C117&gt;=4),H117&amp;".",""),IF($C117="S",I117&amp;".","")))</f>
        <v>7.1.</v>
      </c>
      <c r="P117" s="120" t="s">
        <v>247</v>
      </c>
      <c r="Q117" s="121"/>
      <c r="R117" s="122" t="s">
        <v>457</v>
      </c>
      <c r="S117" s="123" t="str">
        <f ca="1">REFERENCIA.Unidade</f>
        <v>-</v>
      </c>
      <c r="T117" s="124">
        <f ca="1">OFFSET(CÁLCULO!H$15,ROW($T117)-ROW(T$15),0)</f>
        <v>0</v>
      </c>
      <c r="U117" s="125">
        <f t="shared" ref="U117:U164" ca="1" si="120">AG117</f>
        <v>0</v>
      </c>
      <c r="V117" s="126" t="s">
        <v>156</v>
      </c>
      <c r="W117" s="124">
        <f ca="1">IF($C117="S",ROUND(IF(TIPOORCAMENTO="Proposto",ORÇAMENTO.CustoUnitario*(1+$AH117),ORÇAMENTO.PrecoUnitarioLicitado),15-13*$AF$10),0)</f>
        <v>0</v>
      </c>
      <c r="X117" s="127">
        <f ca="1">IF($C117="S",IF(Import.TipoArredondamento&lt;&gt;"TransfereGOV",VTOTAL1,SUM(OFFSET(CÁLCULO!$AA$15,ROW($X117)-ROW($X$15),1):OFFSET(CÁLCULO!$AL$15,ROW($X117)-ROW($X$15),-1))),IF($C117=0,0,ROUND(SomaAgrup,15-13*$AF$11)))</f>
        <v>37813.360000000001</v>
      </c>
      <c r="Y117" s="128" t="s">
        <v>245</v>
      </c>
      <c r="Z117" t="str">
        <f t="shared" ref="Z117:Z124" ca="1" si="121">IF(AND($C117="S",$X117&gt;0),IF(ISBLANK($Y117),"RA",LEFT($Y117,2)),"")</f>
        <v/>
      </c>
      <c r="AA117" s="129">
        <f ca="1">IF($C117="S",IF($Z117="CP",$X117,IF($Z117="RA",(($X117)*QCI!$AA$3),0)),SomaAgrup)</f>
        <v>37813.360000000001</v>
      </c>
      <c r="AB117" s="130">
        <f t="shared" ref="AB117:AB124" ca="1" si="122">IF($C117="S",IF($Z117="OU",ROUND($X117,2),0),SomaAgrup)</f>
        <v>0</v>
      </c>
      <c r="AC117" s="131" t="str">
        <f ca="1">IF($N117="","",IF(ORÇAMENTO.Descricao="","DESCRIÇÃO",IF(AND($C117="S",ORÇAMENTO.Unidade=""),"UNIDADE",IF($X117&lt;0,"VALOR NEGATIVO",IF(OR(AND(TIPOORCAMENTO="Proposto",$AG117&lt;&gt;"",$AG117&gt;0,ORÇAMENTO.CustoUnitario&gt;$AG117),AND(TIPOORCAMENTO="LICITADO",ORÇAMENTO.PrecoUnitarioLicitado&gt;$AN117)),"ACIMA REF.","")))))</f>
        <v/>
      </c>
      <c r="AD117">
        <f ca="1">IF(C117&lt;=CRONO.NivelExibicao,MAX($AD$15:OFFSET(AD117,-1,0))+IF($C117&lt;&gt;1,1,MAX(1,COUNTIF(QCI!$A$13:$A$24,OFFSET($E117,-1,0)))),"")</f>
        <v>23</v>
      </c>
      <c r="AE117" s="7" t="b">
        <f ca="1">IF(AND($C117="S",ORÇAMENTO.CodBarra&lt;&gt;""),IF(ORÇAMENTO.Fonte="",ORÇAMENTO.CodBarra,CONCATENATE(ORÇAMENTO.Fonte," ",ORÇAMENTO.CodBarra)))</f>
        <v>0</v>
      </c>
      <c r="AF117" s="13" t="str">
        <f ca="1">IF(ISERROR(INDIRECT(ORÇAMENTO.BancoRef)),"(abra o arquivo 'Referência "&amp;Excel_BuiltIn_Database&amp;".xlsm)",IF(OR($C117&lt;&gt;"S",ORÇAMENTO.CodBarra=""),"(Sem Código)",IF(ISERROR(MATCH($AE117,INDIRECT(ORÇAMENTO.BancoRef),0)),"(Código não identificado nas referências)",MATCH($AE117,INDIRECT(ORÇAMENTO.BancoRef),0))))</f>
        <v>(Sem Código)</v>
      </c>
      <c r="AG117" s="498">
        <f ca="1">ROUND(IF(DESONERACAO="sim",REFERENCIA.Desonerado,REFERENCIA.NaoDesonerado),2)</f>
        <v>0</v>
      </c>
      <c r="AH117" s="499">
        <f t="shared" ref="AH117:AH124" ca="1" si="123">ROUND(IF(ISNUMBER(ORÇAMENTO.OpcaoBDI),ORÇAMENTO.OpcaoBDI,IF(LEFT(ORÇAMENTO.OpcaoBDI,3)="BDI",HLOOKUP(ORÇAMENTO.OpcaoBDI,$F$4:$H$5,2,FALSE),0)),15-11*$AF$9)</f>
        <v>0.20349999999999999</v>
      </c>
      <c r="AJ117" s="501"/>
      <c r="AL117" s="527"/>
      <c r="AM117" s="381">
        <f t="shared" ref="AM117:AM164" ca="1" si="124">$X117</f>
        <v>37813.360000000001</v>
      </c>
      <c r="AN117" s="566">
        <f t="shared" ref="AN117:AN124" ca="1" si="125">ROUND(ORÇAMENTO.CustoUnitario*(1+$AH117),2)</f>
        <v>0</v>
      </c>
    </row>
    <row r="118" spans="1:40" ht="25.5" x14ac:dyDescent="0.2">
      <c r="A118" t="str">
        <f>CHOOSE(1+LOG(1+2*(ORÇAMENTO.Nivel="Meta")+4*(ORÇAMENTO.Nivel="Nível 2")+8*(ORÇAMENTO.Nivel="Nível 3")+16*(ORÇAMENTO.Nivel="Nível 4")+32*(ORÇAMENTO.Nivel="Serviço"),2),0,1,2,3,4,"S")</f>
        <v>S</v>
      </c>
      <c r="B118">
        <f ca="1">IF(OR(C118="s",C118=0),OFFSET(B118,-1,0),C118)</f>
        <v>2</v>
      </c>
      <c r="C118" t="str">
        <f ca="1">IF(OFFSET(C118,-1,0)="L",1,IF(OFFSET(C118,-1,0)=1,2,IF(OR(A118="s",A118=0),"S",IF(AND(OFFSET(C118,-1,0)=2,A118=4),3,IF(AND(OR(OFFSET(C118,-1,0)="s",OFFSET(C118,-1,0)=0),A118&lt;&gt;"s",A118&gt;OFFSET(B118,-1,0)),OFFSET(B118,-1,0),A118)))))</f>
        <v>S</v>
      </c>
      <c r="D118">
        <f ca="1">IF(OR(C118="S",C118=0),0,IF(ISERROR(K118),J118,SMALL(J118:K118,1)))</f>
        <v>0</v>
      </c>
      <c r="E118">
        <f ca="1">IF($C118=1,OFFSET(E118,-1,0)+MAX(1,COUNTIF(QCI!$A$13:$A$24,OFFSET(ORÇAMENTO!E118,-1,0))),OFFSET(E118,-1,0))</f>
        <v>7</v>
      </c>
      <c r="F118">
        <f ca="1">IF($C118=1,0,IF($C118=2,OFFSET(F118,-1,0)+1,OFFSET(F118,-1,0)))</f>
        <v>1</v>
      </c>
      <c r="G118">
        <f ca="1">IF(AND($C118&lt;=2,$C118&lt;&gt;0),0,IF($C118=3,OFFSET(G118,-1,0)+1,OFFSET(G118,-1,0)))</f>
        <v>0</v>
      </c>
      <c r="H118">
        <f ca="1">IF(AND($C118&lt;=3,$C118&lt;&gt;0),0,IF($C118=4,OFFSET(H118,-1,0)+1,OFFSET(H118,-1,0)))</f>
        <v>0</v>
      </c>
      <c r="I118">
        <f ca="1">IF(AND($C118&lt;=4,$C118&lt;&gt;0),0,IF(AND($C118="S",$X118&gt;0),OFFSET(I118,-1,0)+1,OFFSET(I118,-1,0)))</f>
        <v>1</v>
      </c>
      <c r="J118">
        <f ca="1">IF(OR($C118="S",$C118=0),0,MATCH(0,OFFSET($D118,1,$C118,ROW($C$165)-ROW($C118)),0))</f>
        <v>0</v>
      </c>
      <c r="K118">
        <f ca="1">IF(OR($C118="S",$C118=0),0,MATCH(OFFSET($D118,0,$C118)+IF($C118&lt;&gt;1,1,COUNTIF(QCI!$A$13:$A$24,ORÇAMENTO!E118)),OFFSET($D118,1,$C118,ROW($C$165)-ROW($C118)),0))</f>
        <v>0</v>
      </c>
      <c r="L118" s="116" t="str">
        <f ca="1">IF(OR($X118&gt;0,$C118=1,$C118=2,$C118=3,$C118=4),"F","")</f>
        <v>F</v>
      </c>
      <c r="M118" s="117" t="s">
        <v>199</v>
      </c>
      <c r="N118" s="118" t="str">
        <f ca="1">CHOOSE(1+LOG(1+2*(C118=1)+4*(C118=2)+8*(C118=3)+16*(C118=4)+32*(C118="S"),2),"","Meta","Nível 2","Nível 3","Nível 4","Serviço")</f>
        <v>Serviço</v>
      </c>
      <c r="O118" s="119" t="str">
        <f ca="1">IF(OR($C118=0,$L118=""),"-",CONCATENATE(E118&amp;".",IF(AND($A$5&gt;=2,$C118&gt;=2),F118&amp;".",""),IF(AND($A$5&gt;=3,$C118&gt;=3),G118&amp;".",""),IF(AND($A$5&gt;=4,$C118&gt;=4),H118&amp;".",""),IF($C118="S",I118&amp;".","")))</f>
        <v>7.1.1.</v>
      </c>
      <c r="P118" s="120" t="s">
        <v>247</v>
      </c>
      <c r="Q118" s="121" t="s">
        <v>527</v>
      </c>
      <c r="R118" s="122" t="str">
        <f ca="1">IF($C118="S",REFERENCIA.Descricao,"(digite a descrição aqui)")</f>
        <v>ATERRO MECANIZADO DE VALA COM MINICARREGADEIRA, COM SOLO ARGILO-ARENOSO. AF_08/2023</v>
      </c>
      <c r="S118" s="123" t="str">
        <f ca="1">REFERENCIA.Unidade</f>
        <v>M3</v>
      </c>
      <c r="T118" s="124">
        <f ca="1">OFFSET(CÁLCULO!H$15,ROW($T118)-ROW(T$15),0)</f>
        <v>29.3</v>
      </c>
      <c r="U118" s="125">
        <f t="shared" ca="1" si="120"/>
        <v>89.51</v>
      </c>
      <c r="V118" s="126" t="s">
        <v>156</v>
      </c>
      <c r="W118" s="124">
        <f ca="1">IF($C118="S",ROUND(IF(TIPOORCAMENTO="Proposto",ORÇAMENTO.CustoUnitario*(1+$AH118),ORÇAMENTO.PrecoUnitarioLicitado),15-13*$AF$10),0)</f>
        <v>107.73</v>
      </c>
      <c r="X118" s="127">
        <f ca="1">IF($C118="S",IF(Import.TipoArredondamento&lt;&gt;"TransfereGOV",VTOTAL1,SUM(OFFSET(CÁLCULO!$AA$15,ROW($X118)-ROW($X$15),1):OFFSET(CÁLCULO!$AL$15,ROW($X118)-ROW($X$15),-1))),IF($C118=0,0,ROUND(SomaAgrup,15-13*$AF$11)))</f>
        <v>3156.49</v>
      </c>
      <c r="Y118" s="128" t="s">
        <v>245</v>
      </c>
      <c r="Z118" t="str">
        <f ca="1">IF(AND($C118="S",$X118&gt;0),IF(ISBLANK($Y118),"RA",LEFT($Y118,2)),"")</f>
        <v>RA</v>
      </c>
      <c r="AA118" s="129">
        <f ca="1">IF($C118="S",IF($Z118="CP",$X118,IF($Z118="RA",(($X118)*QCI!$AA$3),0)),SomaAgrup)</f>
        <v>3156.49</v>
      </c>
      <c r="AB118" s="130">
        <f ca="1">IF($C118="S",IF($Z118="OU",ROUND($X118,2),0),SomaAgrup)</f>
        <v>0</v>
      </c>
      <c r="AC118" s="131" t="str">
        <f ca="1">IF($N118="","",IF(ORÇAMENTO.Descricao="","DESCRIÇÃO",IF(AND($C118="S",ORÇAMENTO.Unidade=""),"UNIDADE",IF($X118&lt;0,"VALOR NEGATIVO",IF(OR(AND(TIPOORCAMENTO="Proposto",$AG118&lt;&gt;"",$AG118&gt;0,ORÇAMENTO.CustoUnitario&gt;$AG118),AND(TIPOORCAMENTO="LICITADO",ORÇAMENTO.PrecoUnitarioLicitado&gt;$AN118)),"ACIMA REF.","")))))</f>
        <v/>
      </c>
      <c r="AD118" t="str">
        <f ca="1">IF(C118&lt;=CRONO.NivelExibicao,MAX($AD$15:OFFSET(AD118,-1,0))+IF($C118&lt;&gt;1,1,MAX(1,COUNTIF(QCI!$A$13:$A$24,OFFSET($E118,-1,0)))),"")</f>
        <v/>
      </c>
      <c r="AE118" s="7" t="str">
        <f ca="1">IF(AND($C118="S",ORÇAMENTO.CodBarra&lt;&gt;""),IF(ORÇAMENTO.Fonte="",ORÇAMENTO.CodBarra,CONCATENATE(ORÇAMENTO.Fonte," ",ORÇAMENTO.CodBarra)))</f>
        <v>SINAPI 104738</v>
      </c>
      <c r="AF118" s="13">
        <f ca="1">IF(ISERROR(INDIRECT(ORÇAMENTO.BancoRef)),"(abra o arquivo 'Referência "&amp;Excel_BuiltIn_Database&amp;".xlsm)",IF(OR($C118&lt;&gt;"S",ORÇAMENTO.CodBarra=""),"(Sem Código)",IF(ISERROR(MATCH($AE118,INDIRECT(ORÇAMENTO.BancoRef),0)),"(Código não identificado nas referências)",MATCH($AE118,INDIRECT(ORÇAMENTO.BancoRef),0))))</f>
        <v>6921</v>
      </c>
      <c r="AG118" s="498">
        <f ca="1">ROUND(IF(DESONERACAO="sim",REFERENCIA.Desonerado,REFERENCIA.NaoDesonerado),2)</f>
        <v>89.51</v>
      </c>
      <c r="AH118" s="499">
        <f ca="1">ROUND(IF(ISNUMBER(ORÇAMENTO.OpcaoBDI),ORÇAMENTO.OpcaoBDI,IF(LEFT(ORÇAMENTO.OpcaoBDI,3)="BDI",HLOOKUP(ORÇAMENTO.OpcaoBDI,$F$4:$H$5,2,FALSE),0)),15-11*$AF$9)</f>
        <v>0.20349999999999999</v>
      </c>
      <c r="AJ118" s="501">
        <f>195.33*0.15</f>
        <v>29.299500000000002</v>
      </c>
      <c r="AL118" s="527"/>
      <c r="AM118" s="381">
        <f t="shared" ca="1" si="124"/>
        <v>3156.49</v>
      </c>
      <c r="AN118" s="566">
        <f ca="1">ROUND(ORÇAMENTO.CustoUnitario*(1+$AH118),2)</f>
        <v>107.73</v>
      </c>
    </row>
    <row r="119" spans="1:40" ht="25.5" x14ac:dyDescent="0.2">
      <c r="A119" t="str">
        <f t="shared" si="109"/>
        <v>S</v>
      </c>
      <c r="B119">
        <f t="shared" ca="1" si="110"/>
        <v>2</v>
      </c>
      <c r="C119" t="str">
        <f t="shared" ca="1" si="111"/>
        <v>S</v>
      </c>
      <c r="D119">
        <f t="shared" ca="1" si="112"/>
        <v>0</v>
      </c>
      <c r="E119">
        <f ca="1">IF($C119=1,OFFSET(E119,-1,0)+MAX(1,COUNTIF(QCI!$A$13:$A$24,OFFSET(ORÇAMENTO!E119,-1,0))),OFFSET(E119,-1,0))</f>
        <v>7</v>
      </c>
      <c r="F119">
        <f t="shared" ca="1" si="113"/>
        <v>1</v>
      </c>
      <c r="G119">
        <f t="shared" ca="1" si="114"/>
        <v>0</v>
      </c>
      <c r="H119">
        <f t="shared" ca="1" si="115"/>
        <v>0</v>
      </c>
      <c r="I119">
        <f t="shared" ca="1" si="116"/>
        <v>2</v>
      </c>
      <c r="J119">
        <f ca="1">IF(OR($C119="S",$C119=0),0,MATCH(0,OFFSET($D119,1,$C119,ROW($C$165)-ROW($C119)),0))</f>
        <v>0</v>
      </c>
      <c r="K119">
        <f ca="1">IF(OR($C119="S",$C119=0),0,MATCH(OFFSET($D119,0,$C119)+IF($C119&lt;&gt;1,1,COUNTIF(QCI!$A$13:$A$24,ORÇAMENTO!E119)),OFFSET($D119,1,$C119,ROW($C$165)-ROW($C119)),0))</f>
        <v>0</v>
      </c>
      <c r="L119" s="116" t="str">
        <f t="shared" ca="1" si="117"/>
        <v>F</v>
      </c>
      <c r="M119" s="117" t="s">
        <v>199</v>
      </c>
      <c r="N119" s="118" t="str">
        <f t="shared" ca="1" si="118"/>
        <v>Serviço</v>
      </c>
      <c r="O119" s="119" t="str">
        <f t="shared" ca="1" si="119"/>
        <v>7.1.2.</v>
      </c>
      <c r="P119" s="120" t="s">
        <v>491</v>
      </c>
      <c r="Q119" s="121" t="s">
        <v>492</v>
      </c>
      <c r="R119" s="122" t="str">
        <f ca="1">IF($C119="S",REFERENCIA.Descricao,"(digite a descrição aqui)")</f>
        <v>PISO INTERNO 6 CM  - INCLUSO LASTRO DE BRITA E CONCRETAGEM ESPESSURA</v>
      </c>
      <c r="S119" s="123" t="str">
        <f ca="1">REFERENCIA.Unidade</f>
        <v>M2</v>
      </c>
      <c r="T119" s="124">
        <f ca="1">OFFSET(CÁLCULO!H$15,ROW($T119)-ROW(T$15),0)</f>
        <v>71.010000000000005</v>
      </c>
      <c r="U119" s="125">
        <f t="shared" ca="1" si="120"/>
        <v>70.52</v>
      </c>
      <c r="V119" s="126" t="s">
        <v>156</v>
      </c>
      <c r="W119" s="124">
        <f ca="1">IF($C119="S",ROUND(IF(TIPOORCAMENTO="Proposto",ORÇAMENTO.CustoUnitario*(1+$AH119),ORÇAMENTO.PrecoUnitarioLicitado),15-13*$AF$10),0)</f>
        <v>84.87</v>
      </c>
      <c r="X119" s="127">
        <f ca="1">IF($C119="S",IF(Import.TipoArredondamento&lt;&gt;"TransfereGOV",VTOTAL1,SUM(OFFSET(CÁLCULO!$AA$15,ROW($X119)-ROW($X$15),1):OFFSET(CÁLCULO!$AL$15,ROW($X119)-ROW($X$15),-1))),IF($C119=0,0,ROUND(SomaAgrup,15-13*$AF$11)))</f>
        <v>6026.62</v>
      </c>
      <c r="Y119" s="128" t="s">
        <v>245</v>
      </c>
      <c r="Z119" t="str">
        <f t="shared" ca="1" si="121"/>
        <v>RA</v>
      </c>
      <c r="AA119" s="129">
        <f ca="1">IF($C119="S",IF($Z119="CP",$X119,IF($Z119="RA",(($X119)*QCI!$AA$3),0)),SomaAgrup)</f>
        <v>6026.62</v>
      </c>
      <c r="AB119" s="130">
        <f t="shared" ca="1" si="122"/>
        <v>0</v>
      </c>
      <c r="AC119" s="131" t="str">
        <f ca="1">IF($N119="","",IF(ORÇAMENTO.Descricao="","DESCRIÇÃO",IF(AND($C119="S",ORÇAMENTO.Unidade=""),"UNIDADE",IF($X119&lt;0,"VALOR NEGATIVO",IF(OR(AND(TIPOORCAMENTO="Proposto",$AG119&lt;&gt;"",$AG119&gt;0,ORÇAMENTO.CustoUnitario&gt;$AG119),AND(TIPOORCAMENTO="LICITADO",ORÇAMENTO.PrecoUnitarioLicitado&gt;$AN119)),"ACIMA REF.","")))))</f>
        <v/>
      </c>
      <c r="AD119" t="str">
        <f ca="1">IF(C119&lt;=CRONO.NivelExibicao,MAX($AD$15:OFFSET(AD119,-1,0))+IF($C119&lt;&gt;1,1,MAX(1,COUNTIF(QCI!$A$13:$A$24,OFFSET($E119,-1,0)))),"")</f>
        <v/>
      </c>
      <c r="AE119" s="7" t="str">
        <f ca="1">IF(AND($C119="S",ORÇAMENTO.CodBarra&lt;&gt;""),IF(ORÇAMENTO.Fonte="",ORÇAMENTO.CodBarra,CONCATENATE(ORÇAMENTO.Fonte," ",ORÇAMENTO.CodBarra)))</f>
        <v>Composição 01</v>
      </c>
      <c r="AF119" s="13">
        <f ca="1">IF(ISERROR(INDIRECT(ORÇAMENTO.BancoRef)),"(abra o arquivo 'Referência "&amp;Excel_BuiltIn_Database&amp;".xlsm)",IF(OR($C119&lt;&gt;"S",ORÇAMENTO.CodBarra=""),"(Sem Código)",IF(ISERROR(MATCH($AE119,INDIRECT(ORÇAMENTO.BancoRef),0)),"(Código não identificado nas referências)",MATCH($AE119,INDIRECT(ORÇAMENTO.BancoRef),0))))</f>
        <v>3</v>
      </c>
      <c r="AG119" s="498">
        <f ca="1">ROUND(IF(DESONERACAO="sim",REFERENCIA.Desonerado,REFERENCIA.NaoDesonerado),2)</f>
        <v>70.52</v>
      </c>
      <c r="AH119" s="499">
        <f t="shared" ca="1" si="123"/>
        <v>0.20349999999999999</v>
      </c>
      <c r="AJ119" s="501">
        <v>71.010000000000005</v>
      </c>
      <c r="AL119" s="527"/>
      <c r="AM119" s="381">
        <f t="shared" ca="1" si="124"/>
        <v>6026.62</v>
      </c>
      <c r="AN119" s="566">
        <f t="shared" ca="1" si="125"/>
        <v>84.87</v>
      </c>
    </row>
    <row r="120" spans="1:40" ht="38.25" x14ac:dyDescent="0.2">
      <c r="A120" t="str">
        <f t="shared" si="109"/>
        <v>S</v>
      </c>
      <c r="B120">
        <f t="shared" ca="1" si="110"/>
        <v>2</v>
      </c>
      <c r="C120" t="str">
        <f t="shared" ca="1" si="111"/>
        <v>S</v>
      </c>
      <c r="D120">
        <f t="shared" ca="1" si="112"/>
        <v>0</v>
      </c>
      <c r="E120">
        <f ca="1">IF($C120=1,OFFSET(E120,-1,0)+MAX(1,COUNTIF(QCI!$A$13:$A$24,OFFSET(ORÇAMENTO!E120,-1,0))),OFFSET(E120,-1,0))</f>
        <v>7</v>
      </c>
      <c r="F120">
        <f t="shared" ca="1" si="113"/>
        <v>1</v>
      </c>
      <c r="G120">
        <f t="shared" ca="1" si="114"/>
        <v>0</v>
      </c>
      <c r="H120">
        <f t="shared" ca="1" si="115"/>
        <v>0</v>
      </c>
      <c r="I120">
        <f t="shared" ca="1" si="116"/>
        <v>3</v>
      </c>
      <c r="J120">
        <f ca="1">IF(OR($C120="S",$C120=0),0,MATCH(0,OFFSET($D120,1,$C120,ROW($C$165)-ROW($C120)),0))</f>
        <v>0</v>
      </c>
      <c r="K120">
        <f ca="1">IF(OR($C120="S",$C120=0),0,MATCH(OFFSET($D120,0,$C120)+IF($C120&lt;&gt;1,1,COUNTIF(QCI!$A$13:$A$24,ORÇAMENTO!E120)),OFFSET($D120,1,$C120,ROW($C$165)-ROW($C120)),0))</f>
        <v>0</v>
      </c>
      <c r="L120" s="116" t="str">
        <f t="shared" ca="1" si="117"/>
        <v>F</v>
      </c>
      <c r="M120" s="117" t="s">
        <v>199</v>
      </c>
      <c r="N120" s="118" t="str">
        <f t="shared" ca="1" si="118"/>
        <v>Serviço</v>
      </c>
      <c r="O120" s="119" t="str">
        <f t="shared" ca="1" si="119"/>
        <v>7.1.3.</v>
      </c>
      <c r="P120" s="120" t="s">
        <v>491</v>
      </c>
      <c r="Q120" s="121" t="s">
        <v>493</v>
      </c>
      <c r="R120" s="122" t="str">
        <f ca="1">IF($C120="S",REFERENCIA.Descricao,"(digite a descrição aqui)")</f>
        <v>PISO EXTERNO 8 CM - COM LASTRO DE MATERIAL GRANULAR, TELA DE AÇO SOLDADA, CONCRETAGEM, POLIMENTO E JUNTA DE DILATAÇÃO</v>
      </c>
      <c r="S120" s="123" t="str">
        <f ca="1">REFERENCIA.Unidade</f>
        <v>M2</v>
      </c>
      <c r="T120" s="124">
        <f ca="1">OFFSET(CÁLCULO!H$15,ROW($T120)-ROW(T$15),0)</f>
        <v>122.82</v>
      </c>
      <c r="U120" s="125">
        <f t="shared" ca="1" si="120"/>
        <v>163.41</v>
      </c>
      <c r="V120" s="126" t="s">
        <v>156</v>
      </c>
      <c r="W120" s="124">
        <f ca="1">IF($C120="S",ROUND(IF(TIPOORCAMENTO="Proposto",ORÇAMENTO.CustoUnitario*(1+$AH120),ORÇAMENTO.PrecoUnitarioLicitado),15-13*$AF$10),0)</f>
        <v>196.66</v>
      </c>
      <c r="X120" s="127">
        <f ca="1">IF($C120="S",IF(Import.TipoArredondamento&lt;&gt;"TransfereGOV",VTOTAL1,SUM(OFFSET(CÁLCULO!$AA$15,ROW($X120)-ROW($X$15),1):OFFSET(CÁLCULO!$AL$15,ROW($X120)-ROW($X$15),-1))),IF($C120=0,0,ROUND(SomaAgrup,15-13*$AF$11)))</f>
        <v>24153.78</v>
      </c>
      <c r="Y120" s="128" t="s">
        <v>245</v>
      </c>
      <c r="Z120" t="str">
        <f t="shared" ca="1" si="121"/>
        <v>RA</v>
      </c>
      <c r="AA120" s="129">
        <f ca="1">IF($C120="S",IF($Z120="CP",$X120,IF($Z120="RA",(($X120)*QCI!$AA$3),0)),SomaAgrup)</f>
        <v>24153.78</v>
      </c>
      <c r="AB120" s="130">
        <f t="shared" ca="1" si="122"/>
        <v>0</v>
      </c>
      <c r="AC120" s="131" t="str">
        <f ca="1">IF($N120="","",IF(ORÇAMENTO.Descricao="","DESCRIÇÃO",IF(AND($C120="S",ORÇAMENTO.Unidade=""),"UNIDADE",IF($X120&lt;0,"VALOR NEGATIVO",IF(OR(AND(TIPOORCAMENTO="Proposto",$AG120&lt;&gt;"",$AG120&gt;0,ORÇAMENTO.CustoUnitario&gt;$AG120),AND(TIPOORCAMENTO="LICITADO",ORÇAMENTO.PrecoUnitarioLicitado&gt;$AN120)),"ACIMA REF.","")))))</f>
        <v/>
      </c>
      <c r="AD120" t="str">
        <f ca="1">IF(C120&lt;=CRONO.NivelExibicao,MAX($AD$15:OFFSET(AD120,-1,0))+IF($C120&lt;&gt;1,1,MAX(1,COUNTIF(QCI!$A$13:$A$24,OFFSET($E120,-1,0)))),"")</f>
        <v/>
      </c>
      <c r="AE120" s="7" t="str">
        <f ca="1">IF(AND($C120="S",ORÇAMENTO.CodBarra&lt;&gt;""),IF(ORÇAMENTO.Fonte="",ORÇAMENTO.CodBarra,CONCATENATE(ORÇAMENTO.Fonte," ",ORÇAMENTO.CodBarra)))</f>
        <v>Composição 02</v>
      </c>
      <c r="AF120" s="13">
        <f ca="1">IF(ISERROR(INDIRECT(ORÇAMENTO.BancoRef)),"(abra o arquivo 'Referência "&amp;Excel_BuiltIn_Database&amp;".xlsm)",IF(OR($C120&lt;&gt;"S",ORÇAMENTO.CodBarra=""),"(Sem Código)",IF(ISERROR(MATCH($AE120,INDIRECT(ORÇAMENTO.BancoRef),0)),"(Código não identificado nas referências)",MATCH($AE120,INDIRECT(ORÇAMENTO.BancoRef),0))))</f>
        <v>4</v>
      </c>
      <c r="AG120" s="498">
        <f ca="1">ROUND(IF(DESONERACAO="sim",REFERENCIA.Desonerado,REFERENCIA.NaoDesonerado),2)</f>
        <v>163.41</v>
      </c>
      <c r="AH120" s="499">
        <f t="shared" ca="1" si="123"/>
        <v>0.20349999999999999</v>
      </c>
      <c r="AJ120" s="501">
        <f>117.22+5.6</f>
        <v>122.82</v>
      </c>
      <c r="AL120" s="527"/>
      <c r="AM120" s="381">
        <f t="shared" ca="1" si="124"/>
        <v>24153.78</v>
      </c>
      <c r="AN120" s="566">
        <f t="shared" ca="1" si="125"/>
        <v>196.66</v>
      </c>
    </row>
    <row r="121" spans="1:40" ht="38.25" x14ac:dyDescent="0.2">
      <c r="A121" t="str">
        <f t="shared" si="109"/>
        <v>S</v>
      </c>
      <c r="B121">
        <f t="shared" ca="1" si="110"/>
        <v>2</v>
      </c>
      <c r="C121" t="str">
        <f t="shared" ca="1" si="111"/>
        <v>S</v>
      </c>
      <c r="D121">
        <f t="shared" ca="1" si="112"/>
        <v>0</v>
      </c>
      <c r="E121">
        <f ca="1">IF($C121=1,OFFSET(E121,-1,0)+MAX(1,COUNTIF(QCI!$A$13:$A$24,OFFSET(ORÇAMENTO!E121,-1,0))),OFFSET(E121,-1,0))</f>
        <v>7</v>
      </c>
      <c r="F121">
        <f t="shared" ca="1" si="113"/>
        <v>1</v>
      </c>
      <c r="G121">
        <f t="shared" ca="1" si="114"/>
        <v>0</v>
      </c>
      <c r="H121">
        <f t="shared" ca="1" si="115"/>
        <v>0</v>
      </c>
      <c r="I121">
        <f t="shared" ca="1" si="116"/>
        <v>4</v>
      </c>
      <c r="J121">
        <f ca="1">IF(OR($C121="S",$C121=0),0,MATCH(0,OFFSET($D121,1,$C121,ROW($C$165)-ROW($C121)),0))</f>
        <v>0</v>
      </c>
      <c r="K121">
        <f ca="1">IF(OR($C121="S",$C121=0),0,MATCH(OFFSET($D121,0,$C121)+IF($C121&lt;&gt;1,1,COUNTIF(QCI!$A$13:$A$24,ORÇAMENTO!E121)),OFFSET($D121,1,$C121,ROW($C$165)-ROW($C121)),0))</f>
        <v>0</v>
      </c>
      <c r="L121" s="116" t="str">
        <f t="shared" ca="1" si="117"/>
        <v>F</v>
      </c>
      <c r="M121" s="117" t="s">
        <v>199</v>
      </c>
      <c r="N121" s="118" t="str">
        <f t="shared" ca="1" si="118"/>
        <v>Serviço</v>
      </c>
      <c r="O121" s="119" t="str">
        <f t="shared" ca="1" si="119"/>
        <v>7.1.4.</v>
      </c>
      <c r="P121" s="120" t="s">
        <v>247</v>
      </c>
      <c r="Q121" s="121" t="s">
        <v>598</v>
      </c>
      <c r="R121" s="122" t="str">
        <f ca="1">IF($C121="S",REFERENCIA.Descricao,"(digite a descrição aqui)")</f>
        <v>REVESTIMENTO CERÂMICO PARA PISO COM PLACAS TIPO ESMALTADA DE DIMENSÕES 35X35 CM APLICADA EM AMBIENTES DE ÁREA MAIOR QUE 10 M2. AF_02/2023_PE</v>
      </c>
      <c r="S121" s="123" t="str">
        <f ca="1">REFERENCIA.Unidade</f>
        <v>M2</v>
      </c>
      <c r="T121" s="124">
        <f ca="1">OFFSET(CÁLCULO!H$15,ROW($T121)-ROW(T$15),0)</f>
        <v>71.010000000000005</v>
      </c>
      <c r="U121" s="125">
        <f t="shared" ca="1" si="120"/>
        <v>52.38</v>
      </c>
      <c r="V121" s="126" t="s">
        <v>156</v>
      </c>
      <c r="W121" s="124">
        <f ca="1">IF($C121="S",ROUND(IF(TIPOORCAMENTO="Proposto",ORÇAMENTO.CustoUnitario*(1+$AH121),ORÇAMENTO.PrecoUnitarioLicitado),15-13*$AF$10),0)</f>
        <v>63.04</v>
      </c>
      <c r="X121" s="127">
        <f ca="1">IF($C121="S",IF(Import.TipoArredondamento&lt;&gt;"TransfereGOV",VTOTAL1,SUM(OFFSET(CÁLCULO!$AA$15,ROW($X121)-ROW($X$15),1):OFFSET(CÁLCULO!$AL$15,ROW($X121)-ROW($X$15),-1))),IF($C121=0,0,ROUND(SomaAgrup,15-13*$AF$11)))</f>
        <v>4476.47</v>
      </c>
      <c r="Y121" s="128" t="s">
        <v>245</v>
      </c>
      <c r="Z121" t="str">
        <f t="shared" ca="1" si="121"/>
        <v>RA</v>
      </c>
      <c r="AA121" s="129">
        <f ca="1">IF($C121="S",IF($Z121="CP",$X121,IF($Z121="RA",(($X121)*QCI!$AA$3),0)),SomaAgrup)</f>
        <v>4476.47</v>
      </c>
      <c r="AB121" s="130">
        <f t="shared" ca="1" si="122"/>
        <v>0</v>
      </c>
      <c r="AC121" s="131" t="str">
        <f ca="1">IF($N121="","",IF(ORÇAMENTO.Descricao="","DESCRIÇÃO",IF(AND($C121="S",ORÇAMENTO.Unidade=""),"UNIDADE",IF($X121&lt;0,"VALOR NEGATIVO",IF(OR(AND(TIPOORCAMENTO="Proposto",$AG121&lt;&gt;"",$AG121&gt;0,ORÇAMENTO.CustoUnitario&gt;$AG121),AND(TIPOORCAMENTO="LICITADO",ORÇAMENTO.PrecoUnitarioLicitado&gt;$AN121)),"ACIMA REF.","")))))</f>
        <v/>
      </c>
      <c r="AD121" t="str">
        <f ca="1">IF(C121&lt;=CRONO.NivelExibicao,MAX($AD$15:OFFSET(AD121,-1,0))+IF($C121&lt;&gt;1,1,MAX(1,COUNTIF(QCI!$A$13:$A$24,OFFSET($E121,-1,0)))),"")</f>
        <v/>
      </c>
      <c r="AE121" s="7" t="str">
        <f ca="1">IF(AND($C121="S",ORÇAMENTO.CodBarra&lt;&gt;""),IF(ORÇAMENTO.Fonte="",ORÇAMENTO.CodBarra,CONCATENATE(ORÇAMENTO.Fonte," ",ORÇAMENTO.CodBarra)))</f>
        <v>SINAPI 87248</v>
      </c>
      <c r="AF121" s="13">
        <f ca="1">IF(ISERROR(INDIRECT(ORÇAMENTO.BancoRef)),"(abra o arquivo 'Referência "&amp;Excel_BuiltIn_Database&amp;".xlsm)",IF(OR($C121&lt;&gt;"S",ORÇAMENTO.CodBarra=""),"(Sem Código)",IF(ISERROR(MATCH($AE121,INDIRECT(ORÇAMENTO.BancoRef),0)),"(Código não identificado nas referências)",MATCH($AE121,INDIRECT(ORÇAMENTO.BancoRef),0))))</f>
        <v>15552</v>
      </c>
      <c r="AG121" s="498">
        <f ca="1">ROUND(IF(DESONERACAO="sim",REFERENCIA.Desonerado,REFERENCIA.NaoDesonerado),2)</f>
        <v>52.38</v>
      </c>
      <c r="AH121" s="499">
        <f t="shared" ca="1" si="123"/>
        <v>0.20349999999999999</v>
      </c>
      <c r="AJ121" s="501">
        <v>71.010000000000005</v>
      </c>
      <c r="AL121" s="527"/>
      <c r="AM121" s="381">
        <f t="shared" ca="1" si="124"/>
        <v>4476.47</v>
      </c>
      <c r="AN121" s="566">
        <f t="shared" ca="1" si="125"/>
        <v>63.04</v>
      </c>
    </row>
    <row r="122" spans="1:40" x14ac:dyDescent="0.2">
      <c r="A122">
        <f>CHOOSE(1+LOG(1+2*(ORÇAMENTO.Nivel="Meta")+4*(ORÇAMENTO.Nivel="Nível 2")+8*(ORÇAMENTO.Nivel="Nível 3")+16*(ORÇAMENTO.Nivel="Nível 4")+32*(ORÇAMENTO.Nivel="Serviço"),2),0,1,2,3,4,"S")</f>
        <v>1</v>
      </c>
      <c r="B122">
        <f ca="1">IF(OR(C122="s",C122=0),OFFSET(B122,-1,0),C122)</f>
        <v>1</v>
      </c>
      <c r="C122">
        <f ca="1">IF(OFFSET(C122,-1,0)="L",1,IF(OFFSET(C122,-1,0)=1,2,IF(OR(A122="s",A122=0),"S",IF(AND(OFFSET(C122,-1,0)=2,A122=4),3,IF(AND(OR(OFFSET(C122,-1,0)="s",OFFSET(C122,-1,0)=0),A122&lt;&gt;"s",A122&gt;OFFSET(B122,-1,0)),OFFSET(B122,-1,0),A122)))))</f>
        <v>1</v>
      </c>
      <c r="D122">
        <f ca="1">IF(OR(C122="S",C122=0),0,IF(ISERROR(K122),J122,SMALL(J122:K122,1)))</f>
        <v>23</v>
      </c>
      <c r="E122">
        <f ca="1">IF($C122=1,OFFSET(E122,-1,0)+MAX(1,COUNTIF(QCI!$A$13:$A$24,OFFSET(ORÇAMENTO!E122,-1,0))),OFFSET(E122,-1,0))</f>
        <v>8</v>
      </c>
      <c r="F122">
        <f ca="1">IF($C122=1,0,IF($C122=2,OFFSET(F122,-1,0)+1,OFFSET(F122,-1,0)))</f>
        <v>0</v>
      </c>
      <c r="G122">
        <f ca="1">IF(AND($C122&lt;=2,$C122&lt;&gt;0),0,IF($C122=3,OFFSET(G122,-1,0)+1,OFFSET(G122,-1,0)))</f>
        <v>0</v>
      </c>
      <c r="H122">
        <f ca="1">IF(AND($C122&lt;=3,$C122&lt;&gt;0),0,IF($C122=4,OFFSET(H122,-1,0)+1,OFFSET(H122,-1,0)))</f>
        <v>0</v>
      </c>
      <c r="I122">
        <f ca="1">IF(AND($C122&lt;=4,$C122&lt;&gt;0),0,IF(AND($C122="S",$X122&gt;0),OFFSET(I122,-1,0)+1,OFFSET(I122,-1,0)))</f>
        <v>0</v>
      </c>
      <c r="J122">
        <f ca="1">IF(OR($C122="S",$C122=0),0,MATCH(0,OFFSET($D122,1,$C122,ROW($C$165)-ROW($C122)),0))</f>
        <v>43</v>
      </c>
      <c r="K122">
        <f ca="1">IF(OR($C122="S",$C122=0),0,MATCH(OFFSET($D122,0,$C122)+IF($C122&lt;&gt;1,1,COUNTIF(QCI!$A$13:$A$24,ORÇAMENTO!E122)),OFFSET($D122,1,$C122,ROW($C$165)-ROW($C122)),0))</f>
        <v>23</v>
      </c>
      <c r="L122" s="116" t="str">
        <f ca="1">IF(OR($X122&gt;0,$C122=1,$C122=2,$C122=3,$C122=4),"F","")</f>
        <v>F</v>
      </c>
      <c r="M122" s="117" t="s">
        <v>195</v>
      </c>
      <c r="N122" s="118" t="str">
        <f ca="1">CHOOSE(1+LOG(1+2*(C122=1)+4*(C122=2)+8*(C122=3)+16*(C122=4)+32*(C122="S"),2),"","Meta","Nível 2","Nível 3","Nível 4","Serviço")</f>
        <v>Meta</v>
      </c>
      <c r="O122" s="119" t="str">
        <f ca="1">IF(OR($C122=0,$L122=""),"-",CONCATENATE(E122&amp;".",IF(AND($A$5&gt;=2,$C122&gt;=2),F122&amp;".",""),IF(AND($A$5&gt;=3,$C122&gt;=3),G122&amp;".",""),IF(AND($A$5&gt;=4,$C122&gt;=4),H122&amp;".",""),IF($C122="S",I122&amp;".","")))</f>
        <v>8.</v>
      </c>
      <c r="P122" s="120" t="s">
        <v>247</v>
      </c>
      <c r="Q122" s="121"/>
      <c r="R122" s="122" t="s">
        <v>578</v>
      </c>
      <c r="S122" s="123" t="str">
        <f ca="1">REFERENCIA.Unidade</f>
        <v>-</v>
      </c>
      <c r="T122" s="124">
        <f ca="1">OFFSET(CÁLCULO!H$15,ROW($T122)-ROW(T$15),0)</f>
        <v>0</v>
      </c>
      <c r="U122" s="125"/>
      <c r="V122" s="126" t="s">
        <v>156</v>
      </c>
      <c r="W122" s="124">
        <f ca="1">IF($C122="S",ROUND(IF(TIPOORCAMENTO="Proposto",ORÇAMENTO.CustoUnitario*(1+$AH122),ORÇAMENTO.PrecoUnitarioLicitado),15-13*$AF$10),0)</f>
        <v>0</v>
      </c>
      <c r="X122" s="127">
        <f ca="1">IF($C122="S",IF(Import.TipoArredondamento&lt;&gt;"TransfereGOV",VTOTAL1,SUM(OFFSET(CÁLCULO!$AA$15,ROW($X122)-ROW($X$15),1):OFFSET(CÁLCULO!$AL$15,ROW($X122)-ROW($X$15),-1))),IF($C122=0,0,ROUND(SomaAgrup,15-13*$AF$11)))</f>
        <v>32814.04</v>
      </c>
      <c r="Y122" s="128" t="s">
        <v>245</v>
      </c>
      <c r="Z122" t="str">
        <f ca="1">IF(AND($C122="S",$X122&gt;0),IF(ISBLANK($Y122),"RA",LEFT($Y122,2)),"")</f>
        <v/>
      </c>
      <c r="AA122" s="129">
        <f ca="1">IF($C122="S",IF($Z122="CP",$X122,IF($Z122="RA",(($X122)*QCI!$AA$3),0)),SomaAgrup)</f>
        <v>32814.04</v>
      </c>
      <c r="AB122" s="130">
        <f ca="1">IF($C122="S",IF($Z122="OU",ROUND($X122,2),0),SomaAgrup)</f>
        <v>0</v>
      </c>
      <c r="AC122" s="131" t="str">
        <f ca="1">IF($N122="","",IF(ORÇAMENTO.Descricao="","DESCRIÇÃO",IF(AND($C122="S",ORÇAMENTO.Unidade=""),"UNIDADE",IF($X122&lt;0,"VALOR NEGATIVO",IF(OR(AND(TIPOORCAMENTO="Proposto",$AG122&lt;&gt;"",$AG122&gt;0,ORÇAMENTO.CustoUnitario&gt;$AG122),AND(TIPOORCAMENTO="LICITADO",ORÇAMENTO.PrecoUnitarioLicitado&gt;$AN122)),"ACIMA REF.","")))))</f>
        <v/>
      </c>
      <c r="AD122">
        <f ca="1">IF(C122&lt;=CRONO.NivelExibicao,MAX($AD$15:OFFSET(AD122,-1,0))+IF($C122&lt;&gt;1,1,MAX(1,COUNTIF(QCI!$A$13:$A$24,OFFSET($E122,-1,0)))),"")</f>
        <v>24</v>
      </c>
      <c r="AE122" s="7" t="b">
        <f ca="1">IF(AND($C122="S",ORÇAMENTO.CodBarra&lt;&gt;""),IF(ORÇAMENTO.Fonte="",ORÇAMENTO.CodBarra,CONCATENATE(ORÇAMENTO.Fonte," ",ORÇAMENTO.CodBarra)))</f>
        <v>0</v>
      </c>
      <c r="AF122" s="13" t="str">
        <f ca="1">IF(ISERROR(INDIRECT(ORÇAMENTO.BancoRef)),"(abra o arquivo 'Referência "&amp;Excel_BuiltIn_Database&amp;".xlsm)",IF(OR($C122&lt;&gt;"S",ORÇAMENTO.CodBarra=""),"(Sem Código)",IF(ISERROR(MATCH($AE122,INDIRECT(ORÇAMENTO.BancoRef),0)),"(Código não identificado nas referências)",MATCH($AE122,INDIRECT(ORÇAMENTO.BancoRef),0))))</f>
        <v>(Sem Código)</v>
      </c>
      <c r="AG122" s="498">
        <f ca="1">ROUND(IF(DESONERACAO="sim",REFERENCIA.Desonerado,REFERENCIA.NaoDesonerado),2)</f>
        <v>0</v>
      </c>
      <c r="AH122" s="499">
        <f ca="1">ROUND(IF(ISNUMBER(ORÇAMENTO.OpcaoBDI),ORÇAMENTO.OpcaoBDI,IF(LEFT(ORÇAMENTO.OpcaoBDI,3)="BDI",HLOOKUP(ORÇAMENTO.OpcaoBDI,$F$4:$H$5,2,FALSE),0)),15-11*$AF$9)</f>
        <v>0.20349999999999999</v>
      </c>
      <c r="AJ122" s="501"/>
      <c r="AL122" s="527"/>
      <c r="AM122" s="381">
        <f t="shared" ca="1" si="124"/>
        <v>32814.04</v>
      </c>
      <c r="AN122" s="566">
        <f ca="1">ROUND(ORÇAMENTO.CustoUnitario*(1+$AH122),2)</f>
        <v>0</v>
      </c>
    </row>
    <row r="123" spans="1:40" x14ac:dyDescent="0.2">
      <c r="A123">
        <f t="shared" si="109"/>
        <v>2</v>
      </c>
      <c r="B123">
        <f t="shared" ca="1" si="110"/>
        <v>2</v>
      </c>
      <c r="C123">
        <f t="shared" ca="1" si="111"/>
        <v>2</v>
      </c>
      <c r="D123">
        <f t="shared" ca="1" si="112"/>
        <v>4</v>
      </c>
      <c r="E123">
        <f ca="1">IF($C123=1,OFFSET(E123,-1,0)+MAX(1,COUNTIF(QCI!$A$13:$A$24,OFFSET(ORÇAMENTO!E123,-1,0))),OFFSET(E123,-1,0))</f>
        <v>8</v>
      </c>
      <c r="F123">
        <f t="shared" ca="1" si="113"/>
        <v>1</v>
      </c>
      <c r="G123">
        <f t="shared" ca="1" si="114"/>
        <v>0</v>
      </c>
      <c r="H123">
        <f t="shared" ca="1" si="115"/>
        <v>0</v>
      </c>
      <c r="I123">
        <f t="shared" ca="1" si="116"/>
        <v>0</v>
      </c>
      <c r="J123">
        <f ca="1">IF(OR($C123="S",$C123=0),0,MATCH(0,OFFSET($D123,1,$C123,ROW($C$165)-ROW($C123)),0))</f>
        <v>22</v>
      </c>
      <c r="K123">
        <f ca="1">IF(OR($C123="S",$C123=0),0,MATCH(OFFSET($D123,0,$C123)+IF($C123&lt;&gt;1,1,COUNTIF(QCI!$A$13:$A$24,ORÇAMENTO!E123)),OFFSET($D123,1,$C123,ROW($C$165)-ROW($C123)),0))</f>
        <v>4</v>
      </c>
      <c r="L123" s="116" t="str">
        <f t="shared" ca="1" si="117"/>
        <v>F</v>
      </c>
      <c r="M123" s="117" t="s">
        <v>196</v>
      </c>
      <c r="N123" s="118" t="str">
        <f t="shared" ca="1" si="118"/>
        <v>Nível 2</v>
      </c>
      <c r="O123" s="119" t="str">
        <f t="shared" ca="1" si="119"/>
        <v>8.1.</v>
      </c>
      <c r="P123" s="120" t="s">
        <v>247</v>
      </c>
      <c r="Q123" s="121"/>
      <c r="R123" s="122" t="s">
        <v>475</v>
      </c>
      <c r="S123" s="123" t="str">
        <f ca="1">REFERENCIA.Unidade</f>
        <v>-</v>
      </c>
      <c r="T123" s="124">
        <f ca="1">OFFSET(CÁLCULO!H$15,ROW($T123)-ROW(T$15),0)</f>
        <v>0</v>
      </c>
      <c r="U123" s="125">
        <f t="shared" ca="1" si="120"/>
        <v>0</v>
      </c>
      <c r="V123" s="126" t="s">
        <v>156</v>
      </c>
      <c r="W123" s="124">
        <f ca="1">IF($C123="S",ROUND(IF(TIPOORCAMENTO="Proposto",ORÇAMENTO.CustoUnitario*(1+$AH123),ORÇAMENTO.PrecoUnitarioLicitado),15-13*$AF$10),0)</f>
        <v>0</v>
      </c>
      <c r="X123" s="127">
        <f ca="1">IF($C123="S",IF(Import.TipoArredondamento&lt;&gt;"TransfereGOV",VTOTAL1,SUM(OFFSET(CÁLCULO!$AA$15,ROW($X123)-ROW($X$15),1):OFFSET(CÁLCULO!$AL$15,ROW($X123)-ROW($X$15),-1))),IF($C123=0,0,ROUND(SomaAgrup,15-13*$AF$11)))</f>
        <v>6632.6</v>
      </c>
      <c r="Y123" s="128" t="s">
        <v>245</v>
      </c>
      <c r="Z123" t="str">
        <f t="shared" ca="1" si="121"/>
        <v/>
      </c>
      <c r="AA123" s="129">
        <f ca="1">IF($C123="S",IF($Z123="CP",$X123,IF($Z123="RA",(($X123)*QCI!$AA$3),0)),SomaAgrup)</f>
        <v>6632.6</v>
      </c>
      <c r="AB123" s="130">
        <f t="shared" ca="1" si="122"/>
        <v>0</v>
      </c>
      <c r="AC123" s="131" t="str">
        <f ca="1">IF($N123="","",IF(ORÇAMENTO.Descricao="","DESCRIÇÃO",IF(AND($C123="S",ORÇAMENTO.Unidade=""),"UNIDADE",IF($X123&lt;0,"VALOR NEGATIVO",IF(OR(AND(TIPOORCAMENTO="Proposto",$AG123&lt;&gt;"",$AG123&gt;0,ORÇAMENTO.CustoUnitario&gt;$AG123),AND(TIPOORCAMENTO="LICITADO",ORÇAMENTO.PrecoUnitarioLicitado&gt;$AN123)),"ACIMA REF.","")))))</f>
        <v/>
      </c>
      <c r="AD123">
        <f ca="1">IF(C123&lt;=CRONO.NivelExibicao,MAX($AD$15:OFFSET(AD123,-1,0))+IF($C123&lt;&gt;1,1,MAX(1,COUNTIF(QCI!$A$13:$A$24,OFFSET($E123,-1,0)))),"")</f>
        <v>25</v>
      </c>
      <c r="AE123" s="7" t="b">
        <f ca="1">IF(AND($C123="S",ORÇAMENTO.CodBarra&lt;&gt;""),IF(ORÇAMENTO.Fonte="",ORÇAMENTO.CodBarra,CONCATENATE(ORÇAMENTO.Fonte," ",ORÇAMENTO.CodBarra)))</f>
        <v>0</v>
      </c>
      <c r="AF123" s="13" t="str">
        <f ca="1">IF(ISERROR(INDIRECT(ORÇAMENTO.BancoRef)),"(abra o arquivo 'Referência "&amp;Excel_BuiltIn_Database&amp;".xlsm)",IF(OR($C123&lt;&gt;"S",ORÇAMENTO.CodBarra=""),"(Sem Código)",IF(ISERROR(MATCH($AE123,INDIRECT(ORÇAMENTO.BancoRef),0)),"(Código não identificado nas referências)",MATCH($AE123,INDIRECT(ORÇAMENTO.BancoRef),0))))</f>
        <v>(Sem Código)</v>
      </c>
      <c r="AG123" s="498">
        <f ca="1">ROUND(IF(DESONERACAO="sim",REFERENCIA.Desonerado,REFERENCIA.NaoDesonerado),2)</f>
        <v>0</v>
      </c>
      <c r="AH123" s="499">
        <f t="shared" ca="1" si="123"/>
        <v>0.20349999999999999</v>
      </c>
      <c r="AJ123" s="501"/>
      <c r="AL123" s="527"/>
      <c r="AM123" s="381">
        <f t="shared" ca="1" si="124"/>
        <v>6632.6</v>
      </c>
      <c r="AN123" s="566">
        <f t="shared" ca="1" si="125"/>
        <v>0</v>
      </c>
    </row>
    <row r="124" spans="1:40" ht="25.5" x14ac:dyDescent="0.2">
      <c r="A124" t="str">
        <f t="shared" si="109"/>
        <v>S</v>
      </c>
      <c r="B124">
        <f t="shared" ca="1" si="110"/>
        <v>2</v>
      </c>
      <c r="C124" t="str">
        <f t="shared" ca="1" si="111"/>
        <v>S</v>
      </c>
      <c r="D124">
        <f t="shared" ca="1" si="112"/>
        <v>0</v>
      </c>
      <c r="E124">
        <f ca="1">IF($C124=1,OFFSET(E124,-1,0)+MAX(1,COUNTIF(QCI!$A$13:$A$24,OFFSET(ORÇAMENTO!E124,-1,0))),OFFSET(E124,-1,0))</f>
        <v>8</v>
      </c>
      <c r="F124">
        <f t="shared" ca="1" si="113"/>
        <v>1</v>
      </c>
      <c r="G124">
        <f t="shared" ca="1" si="114"/>
        <v>0</v>
      </c>
      <c r="H124">
        <f t="shared" ca="1" si="115"/>
        <v>0</v>
      </c>
      <c r="I124">
        <f t="shared" ca="1" si="116"/>
        <v>1</v>
      </c>
      <c r="J124">
        <f ca="1">IF(OR($C124="S",$C124=0),0,MATCH(0,OFFSET($D124,1,$C124,ROW($C$165)-ROW($C124)),0))</f>
        <v>0</v>
      </c>
      <c r="K124">
        <f ca="1">IF(OR($C124="S",$C124=0),0,MATCH(OFFSET($D124,0,$C124)+IF($C124&lt;&gt;1,1,COUNTIF(QCI!$A$13:$A$24,ORÇAMENTO!E124)),OFFSET($D124,1,$C124,ROW($C$165)-ROW($C124)),0))</f>
        <v>0</v>
      </c>
      <c r="L124" s="116" t="str">
        <f t="shared" ca="1" si="117"/>
        <v>F</v>
      </c>
      <c r="M124" s="117" t="s">
        <v>199</v>
      </c>
      <c r="N124" s="118" t="str">
        <f t="shared" ca="1" si="118"/>
        <v>Serviço</v>
      </c>
      <c r="O124" s="119" t="str">
        <f t="shared" ca="1" si="119"/>
        <v>8.1.1.</v>
      </c>
      <c r="P124" s="120" t="s">
        <v>247</v>
      </c>
      <c r="Q124" s="121" t="s">
        <v>474</v>
      </c>
      <c r="R124" s="122" t="str">
        <f ca="1">IF($C124="S",REFERENCIA.Descricao,"(digite a descrição aqui)")</f>
        <v>FUNDO SELADOR ACRÍLICO, APLICAÇÃO MANUAL EM PAREDE, UMA DEMÃO. AF_04/2023</v>
      </c>
      <c r="S124" s="123" t="str">
        <f ca="1">REFERENCIA.Unidade</f>
        <v>M2</v>
      </c>
      <c r="T124" s="124">
        <f ca="1">OFFSET(CÁLCULO!H$15,ROW($T124)-ROW(T$15),0)</f>
        <v>160.44</v>
      </c>
      <c r="U124" s="125">
        <f t="shared" ca="1" si="120"/>
        <v>4.51</v>
      </c>
      <c r="V124" s="126" t="s">
        <v>156</v>
      </c>
      <c r="W124" s="124">
        <f ca="1">IF($C124="S",ROUND(IF(TIPOORCAMENTO="Proposto",ORÇAMENTO.CustoUnitario*(1+$AH124),ORÇAMENTO.PrecoUnitarioLicitado),15-13*$AF$10),0)</f>
        <v>5.43</v>
      </c>
      <c r="X124" s="127">
        <f ca="1">IF($C124="S",IF(Import.TipoArredondamento&lt;&gt;"TransfereGOV",VTOTAL1,SUM(OFFSET(CÁLCULO!$AA$15,ROW($X124)-ROW($X$15),1):OFFSET(CÁLCULO!$AL$15,ROW($X124)-ROW($X$15),-1))),IF($C124=0,0,ROUND(SomaAgrup,15-13*$AF$11)))</f>
        <v>871.19</v>
      </c>
      <c r="Y124" s="128" t="s">
        <v>245</v>
      </c>
      <c r="Z124" t="str">
        <f t="shared" ca="1" si="121"/>
        <v>RA</v>
      </c>
      <c r="AA124" s="129">
        <f ca="1">IF($C124="S",IF($Z124="CP",$X124,IF($Z124="RA",(($X124)*QCI!$AA$3),0)),SomaAgrup)</f>
        <v>871.19</v>
      </c>
      <c r="AB124" s="130">
        <f t="shared" ca="1" si="122"/>
        <v>0</v>
      </c>
      <c r="AC124" s="131" t="str">
        <f ca="1">IF($N124="","",IF(ORÇAMENTO.Descricao="","DESCRIÇÃO",IF(AND($C124="S",ORÇAMENTO.Unidade=""),"UNIDADE",IF($X124&lt;0,"VALOR NEGATIVO",IF(OR(AND(TIPOORCAMENTO="Proposto",$AG124&lt;&gt;"",$AG124&gt;0,ORÇAMENTO.CustoUnitario&gt;$AG124),AND(TIPOORCAMENTO="LICITADO",ORÇAMENTO.PrecoUnitarioLicitado&gt;$AN124)),"ACIMA REF.","")))))</f>
        <v/>
      </c>
      <c r="AD124" t="str">
        <f ca="1">IF(C124&lt;=CRONO.NivelExibicao,MAX($AD$15:OFFSET(AD124,-1,0))+IF($C124&lt;&gt;1,1,MAX(1,COUNTIF(QCI!$A$13:$A$24,OFFSET($E124,-1,0)))),"")</f>
        <v/>
      </c>
      <c r="AE124" s="7" t="str">
        <f ca="1">IF(AND($C124="S",ORÇAMENTO.CodBarra&lt;&gt;""),IF(ORÇAMENTO.Fonte="",ORÇAMENTO.CodBarra,CONCATENATE(ORÇAMENTO.Fonte," ",ORÇAMENTO.CodBarra)))</f>
        <v>SINAPI 88485</v>
      </c>
      <c r="AF124" s="13">
        <f ca="1">IF(ISERROR(INDIRECT(ORÇAMENTO.BancoRef)),"(abra o arquivo 'Referência "&amp;Excel_BuiltIn_Database&amp;".xlsm)",IF(OR($C124&lt;&gt;"S",ORÇAMENTO.CodBarra=""),"(Sem Código)",IF(ISERROR(MATCH($AE124,INDIRECT(ORÇAMENTO.BancoRef),0)),"(Código não identificado nas referências)",MATCH($AE124,INDIRECT(ORÇAMENTO.BancoRef),0))))</f>
        <v>14511</v>
      </c>
      <c r="AG124" s="498">
        <f ca="1">ROUND(IF(DESONERACAO="sim",REFERENCIA.Desonerado,REFERENCIA.NaoDesonerado),2)</f>
        <v>4.51</v>
      </c>
      <c r="AH124" s="499">
        <f t="shared" ca="1" si="123"/>
        <v>0.20349999999999999</v>
      </c>
      <c r="AJ124" s="501">
        <v>160.44</v>
      </c>
      <c r="AL124" s="527"/>
      <c r="AM124" s="381">
        <f t="shared" ca="1" si="124"/>
        <v>871.19</v>
      </c>
      <c r="AN124" s="566">
        <f t="shared" ca="1" si="125"/>
        <v>5.43</v>
      </c>
    </row>
    <row r="125" spans="1:40" ht="25.5" x14ac:dyDescent="0.2">
      <c r="A125" t="str">
        <f t="shared" ref="A125:A164" si="126">CHOOSE(1+LOG(1+2*(ORÇAMENTO.Nivel="Meta")+4*(ORÇAMENTO.Nivel="Nível 2")+8*(ORÇAMENTO.Nivel="Nível 3")+16*(ORÇAMENTO.Nivel="Nível 4")+32*(ORÇAMENTO.Nivel="Serviço"),2),0,1,2,3,4,"S")</f>
        <v>S</v>
      </c>
      <c r="B125">
        <f ca="1">IF(OR(C125="s",C125=0),OFFSET(B125,-1,0),C125)</f>
        <v>2</v>
      </c>
      <c r="C125" t="str">
        <f ca="1">IF(OFFSET(C125,-1,0)="L",1,IF(OFFSET(C125,-1,0)=1,2,IF(OR(A125="s",A125=0),"S",IF(AND(OFFSET(C125,-1,0)=2,A125=4),3,IF(AND(OR(OFFSET(C125,-1,0)="s",OFFSET(C125,-1,0)=0),A125&lt;&gt;"s",A125&gt;OFFSET(B125,-1,0)),OFFSET(B125,-1,0),A125)))))</f>
        <v>S</v>
      </c>
      <c r="D125">
        <f ca="1">IF(OR(C125="S",C125=0),0,IF(ISERROR(K125),J125,SMALL(J125:K125,1)))</f>
        <v>0</v>
      </c>
      <c r="E125">
        <f ca="1">IF($C125=1,OFFSET(E125,-1,0)+MAX(1,COUNTIF(QCI!$A$13:$A$24,OFFSET(ORÇAMENTO!E125,-1,0))),OFFSET(E125,-1,0))</f>
        <v>8</v>
      </c>
      <c r="F125">
        <f ca="1">IF($C125=1,0,IF($C125=2,OFFSET(F125,-1,0)+1,OFFSET(F125,-1,0)))</f>
        <v>1</v>
      </c>
      <c r="G125">
        <f ca="1">IF(AND($C125&lt;=2,$C125&lt;&gt;0),0,IF($C125=3,OFFSET(G125,-1,0)+1,OFFSET(G125,-1,0)))</f>
        <v>0</v>
      </c>
      <c r="H125">
        <f ca="1">IF(AND($C125&lt;=3,$C125&lt;&gt;0),0,IF($C125=4,OFFSET(H125,-1,0)+1,OFFSET(H125,-1,0)))</f>
        <v>0</v>
      </c>
      <c r="I125">
        <f ca="1">IF(AND($C125&lt;=4,$C125&lt;&gt;0),0,IF(AND($C125="S",$X125&gt;0),OFFSET(I125,-1,0)+1,OFFSET(I125,-1,0)))</f>
        <v>2</v>
      </c>
      <c r="J125">
        <f ca="1">IF(OR($C125="S",$C125=0),0,MATCH(0,OFFSET($D125,1,$C125,ROW($C$165)-ROW($C125)),0))</f>
        <v>0</v>
      </c>
      <c r="K125">
        <f ca="1">IF(OR($C125="S",$C125=0),0,MATCH(OFFSET($D125,0,$C125)+IF($C125&lt;&gt;1,1,COUNTIF(QCI!$A$13:$A$24,ORÇAMENTO!E125)),OFFSET($D125,1,$C125,ROW($C$165)-ROW($C125)),0))</f>
        <v>0</v>
      </c>
      <c r="L125" s="116" t="str">
        <f ca="1">IF(OR($X125&gt;0,$C125=1,$C125=2,$C125=3,$C125=4),"F","")</f>
        <v>F</v>
      </c>
      <c r="M125" s="117" t="s">
        <v>199</v>
      </c>
      <c r="N125" s="118" t="str">
        <f ca="1">CHOOSE(1+LOG(1+2*(C125=1)+4*(C125=2)+8*(C125=3)+16*(C125=4)+32*(C125="S"),2),"","Meta","Nível 2","Nível 3","Nível 4","Serviço")</f>
        <v>Serviço</v>
      </c>
      <c r="O125" s="119" t="str">
        <f ca="1">IF(OR($C125=0,$L125=""),"-",CONCATENATE(E125&amp;".",IF(AND($A$5&gt;=2,$C125&gt;=2),F125&amp;".",""),IF(AND($A$5&gt;=3,$C125&gt;=3),G125&amp;".",""),IF(AND($A$5&gt;=4,$C125&gt;=4),H125&amp;".",""),IF($C125="S",I125&amp;".","")))</f>
        <v>8.1.2.</v>
      </c>
      <c r="P125" s="120" t="s">
        <v>247</v>
      </c>
      <c r="Q125" s="121" t="s">
        <v>473</v>
      </c>
      <c r="R125" s="122" t="str">
        <f ca="1">IF($C125="S",REFERENCIA.Descricao,"(digite a descrição aqui)")</f>
        <v>TEXTURA ACRÍLICA, APLICAÇÃO MANUAL EM PAREDE, UMA DEMÃO. AF_04/2023</v>
      </c>
      <c r="S125" s="123" t="str">
        <f ca="1">REFERENCIA.Unidade</f>
        <v>M2</v>
      </c>
      <c r="T125" s="124">
        <f ca="1">OFFSET(CÁLCULO!H$15,ROW($T125)-ROW(T$15),0)</f>
        <v>160.44</v>
      </c>
      <c r="U125" s="125">
        <f t="shared" ca="1" si="120"/>
        <v>15.23</v>
      </c>
      <c r="V125" s="126" t="s">
        <v>156</v>
      </c>
      <c r="W125" s="124">
        <f ca="1">IF($C125="S",ROUND(IF(TIPOORCAMENTO="Proposto",ORÇAMENTO.CustoUnitario*(1+$AH125),ORÇAMENTO.PrecoUnitarioLicitado),15-13*$AF$10),0)</f>
        <v>18.329999999999998</v>
      </c>
      <c r="X125" s="127">
        <f ca="1">IF($C125="S",IF(Import.TipoArredondamento&lt;&gt;"TransfereGOV",VTOTAL1,SUM(OFFSET(CÁLCULO!$AA$15,ROW($X125)-ROW($X$15),1):OFFSET(CÁLCULO!$AL$15,ROW($X125)-ROW($X$15),-1))),IF($C125=0,0,ROUND(SomaAgrup,15-13*$AF$11)))</f>
        <v>2940.87</v>
      </c>
      <c r="Y125" s="128" t="s">
        <v>245</v>
      </c>
      <c r="Z125" t="str">
        <f ca="1">IF(AND($C125="S",$X125&gt;0),IF(ISBLANK($Y125),"RA",LEFT($Y125,2)),"")</f>
        <v>RA</v>
      </c>
      <c r="AA125" s="129">
        <f ca="1">IF($C125="S",IF($Z125="CP",$X125,IF($Z125="RA",(($X125)*QCI!$AA$3),0)),SomaAgrup)</f>
        <v>2940.87</v>
      </c>
      <c r="AB125" s="130">
        <f t="shared" ref="AB125:AB164" ca="1" si="127">IF($C125="S",IF($Z125="OU",ROUND($X125,2),0),SomaAgrup)</f>
        <v>0</v>
      </c>
      <c r="AC125" s="131" t="str">
        <f ca="1">IF($N125="","",IF(ORÇAMENTO.Descricao="","DESCRIÇÃO",IF(AND($C125="S",ORÇAMENTO.Unidade=""),"UNIDADE",IF($X125&lt;0,"VALOR NEGATIVO",IF(OR(AND(TIPOORCAMENTO="Proposto",$AG125&lt;&gt;"",$AG125&gt;0,ORÇAMENTO.CustoUnitario&gt;$AG125),AND(TIPOORCAMENTO="LICITADO",ORÇAMENTO.PrecoUnitarioLicitado&gt;$AN125)),"ACIMA REF.","")))))</f>
        <v/>
      </c>
      <c r="AD125" t="str">
        <f ca="1">IF(C125&lt;=CRONO.NivelExibicao,MAX($AD$15:OFFSET(AD125,-1,0))+IF($C125&lt;&gt;1,1,MAX(1,COUNTIF(QCI!$A$13:$A$24,OFFSET($E125,-1,0)))),"")</f>
        <v/>
      </c>
      <c r="AE125" s="7" t="str">
        <f ca="1">IF(AND($C125="S",ORÇAMENTO.CodBarra&lt;&gt;""),IF(ORÇAMENTO.Fonte="",ORÇAMENTO.CodBarra,CONCATENATE(ORÇAMENTO.Fonte," ",ORÇAMENTO.CodBarra)))</f>
        <v>SINAPI 95305</v>
      </c>
      <c r="AF125" s="13">
        <f ca="1">IF(ISERROR(INDIRECT(ORÇAMENTO.BancoRef)),"(abra o arquivo 'Referência "&amp;Excel_BuiltIn_Database&amp;".xlsm)",IF(OR($C125&lt;&gt;"S",ORÇAMENTO.CodBarra=""),"(Sem Código)",IF(ISERROR(MATCH($AE125,INDIRECT(ORÇAMENTO.BancoRef),0)),"(Código não identificado nas referências)",MATCH($AE125,INDIRECT(ORÇAMENTO.BancoRef),0))))</f>
        <v>14523</v>
      </c>
      <c r="AG125" s="498">
        <f ca="1">ROUND(IF(DESONERACAO="sim",REFERENCIA.Desonerado,REFERENCIA.NaoDesonerado),2)</f>
        <v>15.23</v>
      </c>
      <c r="AH125" s="499">
        <f t="shared" ref="AH125:AH164" ca="1" si="128">ROUND(IF(ISNUMBER(ORÇAMENTO.OpcaoBDI),ORÇAMENTO.OpcaoBDI,IF(LEFT(ORÇAMENTO.OpcaoBDI,3)="BDI",HLOOKUP(ORÇAMENTO.OpcaoBDI,$F$4:$H$5,2,FALSE),0)),15-11*$AF$9)</f>
        <v>0.20349999999999999</v>
      </c>
      <c r="AJ125" s="501">
        <v>160.44</v>
      </c>
      <c r="AL125" s="527"/>
      <c r="AM125" s="381">
        <f t="shared" ca="1" si="124"/>
        <v>2940.87</v>
      </c>
      <c r="AN125" s="566">
        <f t="shared" ref="AN125:AN164" ca="1" si="129">ROUND(ORÇAMENTO.CustoUnitario*(1+$AH125),2)</f>
        <v>18.329999999999998</v>
      </c>
    </row>
    <row r="126" spans="1:40" ht="25.5" x14ac:dyDescent="0.2">
      <c r="A126" t="str">
        <f t="shared" si="126"/>
        <v>S</v>
      </c>
      <c r="B126">
        <f ca="1">IF(OR(C126="s",C126=0),OFFSET(B126,-1,0),C126)</f>
        <v>2</v>
      </c>
      <c r="C126" t="str">
        <f ca="1">IF(OFFSET(C126,-1,0)="L",1,IF(OFFSET(C126,-1,0)=1,2,IF(OR(A126="s",A126=0),"S",IF(AND(OFFSET(C126,-1,0)=2,A126=4),3,IF(AND(OR(OFFSET(C126,-1,0)="s",OFFSET(C126,-1,0)=0),A126&lt;&gt;"s",A126&gt;OFFSET(B126,-1,0)),OFFSET(B126,-1,0),A126)))))</f>
        <v>S</v>
      </c>
      <c r="D126">
        <f ca="1">IF(OR(C126="S",C126=0),0,IF(ISERROR(K126),J126,SMALL(J126:K126,1)))</f>
        <v>0</v>
      </c>
      <c r="E126">
        <f ca="1">IF($C126=1,OFFSET(E126,-1,0)+MAX(1,COUNTIF(QCI!$A$13:$A$24,OFFSET(ORÇAMENTO!E126,-1,0))),OFFSET(E126,-1,0))</f>
        <v>8</v>
      </c>
      <c r="F126">
        <f ca="1">IF($C126=1,0,IF($C126=2,OFFSET(F126,-1,0)+1,OFFSET(F126,-1,0)))</f>
        <v>1</v>
      </c>
      <c r="G126">
        <f ca="1">IF(AND($C126&lt;=2,$C126&lt;&gt;0),0,IF($C126=3,OFFSET(G126,-1,0)+1,OFFSET(G126,-1,0)))</f>
        <v>0</v>
      </c>
      <c r="H126">
        <f ca="1">IF(AND($C126&lt;=3,$C126&lt;&gt;0),0,IF($C126=4,OFFSET(H126,-1,0)+1,OFFSET(H126,-1,0)))</f>
        <v>0</v>
      </c>
      <c r="I126">
        <f ca="1">IF(AND($C126&lt;=4,$C126&lt;&gt;0),0,IF(AND($C126="S",$X126&gt;0),OFFSET(I126,-1,0)+1,OFFSET(I126,-1,0)))</f>
        <v>3</v>
      </c>
      <c r="J126">
        <f ca="1">IF(OR($C126="S",$C126=0),0,MATCH(0,OFFSET($D126,1,$C126,ROW($C$165)-ROW($C126)),0))</f>
        <v>0</v>
      </c>
      <c r="K126">
        <f ca="1">IF(OR($C126="S",$C126=0),0,MATCH(OFFSET($D126,0,$C126)+IF($C126&lt;&gt;1,1,COUNTIF(QCI!$A$13:$A$24,ORÇAMENTO!E126)),OFFSET($D126,1,$C126,ROW($C$165)-ROW($C126)),0))</f>
        <v>0</v>
      </c>
      <c r="L126" s="116" t="str">
        <f ca="1">IF(OR($X126&gt;0,$C126=1,$C126=2,$C126=3,$C126=4),"F","")</f>
        <v>F</v>
      </c>
      <c r="M126" s="117" t="s">
        <v>199</v>
      </c>
      <c r="N126" s="118" t="str">
        <f ca="1">CHOOSE(1+LOG(1+2*(C126=1)+4*(C126=2)+8*(C126=3)+16*(C126=4)+32*(C126="S"),2),"","Meta","Nível 2","Nível 3","Nível 4","Serviço")</f>
        <v>Serviço</v>
      </c>
      <c r="O126" s="119" t="str">
        <f ca="1">IF(OR($C126=0,$L126=""),"-",CONCATENATE(E126&amp;".",IF(AND($A$5&gt;=2,$C126&gt;=2),F126&amp;".",""),IF(AND($A$5&gt;=3,$C126&gt;=3),G126&amp;".",""),IF(AND($A$5&gt;=4,$C126&gt;=4),H126&amp;".",""),IF($C126="S",I126&amp;".","")))</f>
        <v>8.1.3.</v>
      </c>
      <c r="P126" s="120" t="s">
        <v>247</v>
      </c>
      <c r="Q126" s="121" t="s">
        <v>458</v>
      </c>
      <c r="R126" s="122" t="str">
        <f ca="1">IF($C126="S",REFERENCIA.Descricao,"(digite a descrição aqui)")</f>
        <v>PINTURA LÁTEX ACRÍLICA PREMIUM, APLICAÇÃO MANUAL EM PAREDES, DUAS DEMÃOS. AF_04/2023</v>
      </c>
      <c r="S126" s="123" t="str">
        <f ca="1">REFERENCIA.Unidade</f>
        <v>M2</v>
      </c>
      <c r="T126" s="124">
        <f ca="1">OFFSET(CÁLCULO!H$15,ROW($T126)-ROW(T$15),0)</f>
        <v>160.44</v>
      </c>
      <c r="U126" s="125">
        <f t="shared" ca="1" si="120"/>
        <v>14.61</v>
      </c>
      <c r="V126" s="126" t="s">
        <v>156</v>
      </c>
      <c r="W126" s="124">
        <f ca="1">IF($C126="S",ROUND(IF(TIPOORCAMENTO="Proposto",ORÇAMENTO.CustoUnitario*(1+$AH126),ORÇAMENTO.PrecoUnitarioLicitado),15-13*$AF$10),0)</f>
        <v>17.579999999999998</v>
      </c>
      <c r="X126" s="127">
        <f ca="1">IF($C126="S",IF(Import.TipoArredondamento&lt;&gt;"TransfereGOV",VTOTAL1,SUM(OFFSET(CÁLCULO!$AA$15,ROW($X126)-ROW($X$15),1):OFFSET(CÁLCULO!$AL$15,ROW($X126)-ROW($X$15),-1))),IF($C126=0,0,ROUND(SomaAgrup,15-13*$AF$11)))</f>
        <v>2820.54</v>
      </c>
      <c r="Y126" s="128" t="s">
        <v>245</v>
      </c>
      <c r="Z126" t="str">
        <f ca="1">IF(AND($C126="S",$X126&gt;0),IF(ISBLANK($Y126),"RA",LEFT($Y126,2)),"")</f>
        <v>RA</v>
      </c>
      <c r="AA126" s="129">
        <f ca="1">IF($C126="S",IF($Z126="CP",$X126,IF($Z126="RA",(($X126)*QCI!$AA$3),0)),SomaAgrup)</f>
        <v>2820.54</v>
      </c>
      <c r="AB126" s="130">
        <f t="shared" ca="1" si="127"/>
        <v>0</v>
      </c>
      <c r="AC126" s="131" t="str">
        <f ca="1">IF($N126="","",IF(ORÇAMENTO.Descricao="","DESCRIÇÃO",IF(AND($C126="S",ORÇAMENTO.Unidade=""),"UNIDADE",IF($X126&lt;0,"VALOR NEGATIVO",IF(OR(AND(TIPOORCAMENTO="Proposto",$AG126&lt;&gt;"",$AG126&gt;0,ORÇAMENTO.CustoUnitario&gt;$AG126),AND(TIPOORCAMENTO="LICITADO",ORÇAMENTO.PrecoUnitarioLicitado&gt;$AN126)),"ACIMA REF.","")))))</f>
        <v/>
      </c>
      <c r="AD126" t="str">
        <f ca="1">IF(C126&lt;=CRONO.NivelExibicao,MAX($AD$15:OFFSET(AD126,-1,0))+IF($C126&lt;&gt;1,1,MAX(1,COUNTIF(QCI!$A$13:$A$24,OFFSET($E126,-1,0)))),"")</f>
        <v/>
      </c>
      <c r="AE126" s="7" t="str">
        <f ca="1">IF(AND($C126="S",ORÇAMENTO.CodBarra&lt;&gt;""),IF(ORÇAMENTO.Fonte="",ORÇAMENTO.CodBarra,CONCATENATE(ORÇAMENTO.Fonte," ",ORÇAMENTO.CodBarra)))</f>
        <v>SINAPI 88489</v>
      </c>
      <c r="AF126" s="13">
        <f ca="1">IF(ISERROR(INDIRECT(ORÇAMENTO.BancoRef)),"(abra o arquivo 'Referência "&amp;Excel_BuiltIn_Database&amp;".xlsm)",IF(OR($C126&lt;&gt;"S",ORÇAMENTO.CodBarra=""),"(Sem Código)",IF(ISERROR(MATCH($AE126,INDIRECT(ORÇAMENTO.BancoRef),0)),"(Código não identificado nas referências)",MATCH($AE126,INDIRECT(ORÇAMENTO.BancoRef),0))))</f>
        <v>14519</v>
      </c>
      <c r="AG126" s="498">
        <f ca="1">ROUND(IF(DESONERACAO="sim",REFERENCIA.Desonerado,REFERENCIA.NaoDesonerado),2)</f>
        <v>14.61</v>
      </c>
      <c r="AH126" s="499">
        <f t="shared" ca="1" si="128"/>
        <v>0.20349999999999999</v>
      </c>
      <c r="AJ126" s="501">
        <v>160.44</v>
      </c>
      <c r="AL126" s="527"/>
      <c r="AM126" s="381">
        <f t="shared" ca="1" si="124"/>
        <v>2820.54</v>
      </c>
      <c r="AN126" s="566">
        <f t="shared" ca="1" si="129"/>
        <v>17.579999999999998</v>
      </c>
    </row>
    <row r="127" spans="1:40" x14ac:dyDescent="0.2">
      <c r="A127">
        <f t="shared" si="126"/>
        <v>2</v>
      </c>
      <c r="B127">
        <f t="shared" ref="B127:B164" ca="1" si="130">IF(OR(C127="s",C127=0),OFFSET(B127,-1,0),C127)</f>
        <v>2</v>
      </c>
      <c r="C127">
        <f t="shared" ref="C127:C164" ca="1" si="131">IF(OFFSET(C127,-1,0)="L",1,IF(OFFSET(C127,-1,0)=1,2,IF(OR(A127="s",A127=0),"S",IF(AND(OFFSET(C127,-1,0)=2,A127=4),3,IF(AND(OR(OFFSET(C127,-1,0)="s",OFFSET(C127,-1,0)=0),A127&lt;&gt;"s",A127&gt;OFFSET(B127,-1,0)),OFFSET(B127,-1,0),A127)))))</f>
        <v>2</v>
      </c>
      <c r="D127">
        <f t="shared" ref="D127:D164" ca="1" si="132">IF(OR(C127="S",C127=0),0,IF(ISERROR(K127),J127,SMALL(J127:K127,1)))</f>
        <v>15</v>
      </c>
      <c r="E127">
        <f ca="1">IF($C127=1,OFFSET(E127,-1,0)+MAX(1,COUNTIF(QCI!$A$13:$A$24,OFFSET(ORÇAMENTO!E127,-1,0))),OFFSET(E127,-1,0))</f>
        <v>8</v>
      </c>
      <c r="F127">
        <f t="shared" ref="F127:F164" ca="1" si="133">IF($C127=1,0,IF($C127=2,OFFSET(F127,-1,0)+1,OFFSET(F127,-1,0)))</f>
        <v>2</v>
      </c>
      <c r="G127">
        <f t="shared" ref="G127:G164" ca="1" si="134">IF(AND($C127&lt;=2,$C127&lt;&gt;0),0,IF($C127=3,OFFSET(G127,-1,0)+1,OFFSET(G127,-1,0)))</f>
        <v>0</v>
      </c>
      <c r="H127">
        <f t="shared" ref="H127:H164" ca="1" si="135">IF(AND($C127&lt;=3,$C127&lt;&gt;0),0,IF($C127=4,OFFSET(H127,-1,0)+1,OFFSET(H127,-1,0)))</f>
        <v>0</v>
      </c>
      <c r="I127">
        <f t="shared" ref="I127:I164" ca="1" si="136">IF(AND($C127&lt;=4,$C127&lt;&gt;0),0,IF(AND($C127="S",$X127&gt;0),OFFSET(I127,-1,0)+1,OFFSET(I127,-1,0)))</f>
        <v>0</v>
      </c>
      <c r="J127">
        <f ca="1">IF(OR($C127="S",$C127=0),0,MATCH(0,OFFSET($D127,1,$C127,ROW($C$165)-ROW($C127)),0))</f>
        <v>18</v>
      </c>
      <c r="K127">
        <f ca="1">IF(OR($C127="S",$C127=0),0,MATCH(OFFSET($D127,0,$C127)+IF($C127&lt;&gt;1,1,COUNTIF(QCI!$A$13:$A$24,ORÇAMENTO!E127)),OFFSET($D127,1,$C127,ROW($C$165)-ROW($C127)),0))</f>
        <v>15</v>
      </c>
      <c r="L127" s="116" t="str">
        <f t="shared" ref="L127:L164" ca="1" si="137">IF(OR($X127&gt;0,$C127=1,$C127=2,$C127=3,$C127=4),"F","")</f>
        <v>F</v>
      </c>
      <c r="M127" s="117" t="s">
        <v>196</v>
      </c>
      <c r="N127" s="118" t="str">
        <f t="shared" ref="N127:N164" ca="1" si="138">CHOOSE(1+LOG(1+2*(C127=1)+4*(C127=2)+8*(C127=3)+16*(C127=4)+32*(C127="S"),2),"","Meta","Nível 2","Nível 3","Nível 4","Serviço")</f>
        <v>Nível 2</v>
      </c>
      <c r="O127" s="119" t="str">
        <f t="shared" ref="O127:O164" ca="1" si="139">IF(OR($C127=0,$L127=""),"-",CONCATENATE(E127&amp;".",IF(AND($A$5&gt;=2,$C127&gt;=2),F127&amp;".",""),IF(AND($A$5&gt;=3,$C127&gt;=3),G127&amp;".",""),IF(AND($A$5&gt;=4,$C127&gt;=4),H127&amp;".",""),IF($C127="S",I127&amp;".","")))</f>
        <v>8.2.</v>
      </c>
      <c r="P127" s="120" t="s">
        <v>247</v>
      </c>
      <c r="Q127" s="121"/>
      <c r="R127" s="122" t="s">
        <v>523</v>
      </c>
      <c r="S127" s="123" t="str">
        <f ca="1">REFERENCIA.Unidade</f>
        <v>-</v>
      </c>
      <c r="T127" s="124">
        <f ca="1">OFFSET(CÁLCULO!H$15,ROW($T127)-ROW(T$15),0)</f>
        <v>0</v>
      </c>
      <c r="U127" s="125">
        <f t="shared" ca="1" si="120"/>
        <v>0</v>
      </c>
      <c r="V127" s="126" t="s">
        <v>156</v>
      </c>
      <c r="W127" s="124">
        <f ca="1">IF($C127="S",ROUND(IF(TIPOORCAMENTO="Proposto",ORÇAMENTO.CustoUnitario*(1+$AH127),ORÇAMENTO.PrecoUnitarioLicitado),15-13*$AF$10),0)</f>
        <v>0</v>
      </c>
      <c r="X127" s="127">
        <f ca="1">IF($C127="S",IF(Import.TipoArredondamento&lt;&gt;"TransfereGOV",VTOTAL1,SUM(OFFSET(CÁLCULO!$AA$15,ROW($X127)-ROW($X$15),1):OFFSET(CÁLCULO!$AL$15,ROW($X127)-ROW($X$15),-1))),IF($C127=0,0,ROUND(SomaAgrup,15-13*$AF$11)))</f>
        <v>18855.72</v>
      </c>
      <c r="Y127" s="128" t="s">
        <v>245</v>
      </c>
      <c r="Z127" t="str">
        <f t="shared" ref="Z127:Z164" ca="1" si="140">IF(AND($C127="S",$X127&gt;0),IF(ISBLANK($Y127),"RA",LEFT($Y127,2)),"")</f>
        <v/>
      </c>
      <c r="AA127" s="129">
        <f ca="1">IF($C127="S",IF($Z127="CP",$X127,IF($Z127="RA",(($X127)*QCI!$AA$3),0)),SomaAgrup)</f>
        <v>18855.72</v>
      </c>
      <c r="AB127" s="130">
        <f t="shared" ca="1" si="127"/>
        <v>0</v>
      </c>
      <c r="AC127" s="131" t="str">
        <f ca="1">IF($N127="","",IF(ORÇAMENTO.Descricao="","DESCRIÇÃO",IF(AND($C127="S",ORÇAMENTO.Unidade=""),"UNIDADE",IF($X127&lt;0,"VALOR NEGATIVO",IF(OR(AND(TIPOORCAMENTO="Proposto",$AG127&lt;&gt;"",$AG127&gt;0,ORÇAMENTO.CustoUnitario&gt;$AG127),AND(TIPOORCAMENTO="LICITADO",ORÇAMENTO.PrecoUnitarioLicitado&gt;$AN127)),"ACIMA REF.","")))))</f>
        <v/>
      </c>
      <c r="AD127">
        <f ca="1">IF(C127&lt;=CRONO.NivelExibicao,MAX($AD$15:OFFSET(AD127,-1,0))+IF($C127&lt;&gt;1,1,MAX(1,COUNTIF(QCI!$A$13:$A$24,OFFSET($E127,-1,0)))),"")</f>
        <v>26</v>
      </c>
      <c r="AE127" s="7" t="b">
        <f ca="1">IF(AND($C127="S",ORÇAMENTO.CodBarra&lt;&gt;""),IF(ORÇAMENTO.Fonte="",ORÇAMENTO.CodBarra,CONCATENATE(ORÇAMENTO.Fonte," ",ORÇAMENTO.CodBarra)))</f>
        <v>0</v>
      </c>
      <c r="AF127" s="13" t="str">
        <f ca="1">IF(ISERROR(INDIRECT(ORÇAMENTO.BancoRef)),"(abra o arquivo 'Referência "&amp;Excel_BuiltIn_Database&amp;".xlsm)",IF(OR($C127&lt;&gt;"S",ORÇAMENTO.CodBarra=""),"(Sem Código)",IF(ISERROR(MATCH($AE127,INDIRECT(ORÇAMENTO.BancoRef),0)),"(Código não identificado nas referências)",MATCH($AE127,INDIRECT(ORÇAMENTO.BancoRef),0))))</f>
        <v>(Sem Código)</v>
      </c>
      <c r="AG127" s="498">
        <f ca="1">ROUND(IF(DESONERACAO="sim",REFERENCIA.Desonerado,REFERENCIA.NaoDesonerado),2)</f>
        <v>0</v>
      </c>
      <c r="AH127" s="499">
        <f t="shared" ca="1" si="128"/>
        <v>0.20349999999999999</v>
      </c>
      <c r="AJ127" s="501"/>
      <c r="AL127" s="527"/>
      <c r="AM127" s="381">
        <f t="shared" ca="1" si="124"/>
        <v>18855.72</v>
      </c>
      <c r="AN127" s="566">
        <f t="shared" ca="1" si="129"/>
        <v>0</v>
      </c>
    </row>
    <row r="128" spans="1:40" ht="25.5" x14ac:dyDescent="0.2">
      <c r="A128" t="str">
        <f t="shared" si="126"/>
        <v>S</v>
      </c>
      <c r="B128">
        <f t="shared" ca="1" si="130"/>
        <v>2</v>
      </c>
      <c r="C128" t="str">
        <f t="shared" ca="1" si="131"/>
        <v>S</v>
      </c>
      <c r="D128">
        <f t="shared" ca="1" si="132"/>
        <v>0</v>
      </c>
      <c r="E128">
        <f ca="1">IF($C128=1,OFFSET(E128,-1,0)+MAX(1,COUNTIF(QCI!$A$13:$A$24,OFFSET(ORÇAMENTO!E128,-1,0))),OFFSET(E128,-1,0))</f>
        <v>8</v>
      </c>
      <c r="F128">
        <f t="shared" ca="1" si="133"/>
        <v>2</v>
      </c>
      <c r="G128">
        <f t="shared" ca="1" si="134"/>
        <v>0</v>
      </c>
      <c r="H128">
        <f t="shared" ca="1" si="135"/>
        <v>0</v>
      </c>
      <c r="I128">
        <f t="shared" ca="1" si="136"/>
        <v>1</v>
      </c>
      <c r="J128">
        <f ca="1">IF(OR($C128="S",$C128=0),0,MATCH(0,OFFSET($D128,1,$C128,ROW($C$165)-ROW($C128)),0))</f>
        <v>0</v>
      </c>
      <c r="K128">
        <f ca="1">IF(OR($C128="S",$C128=0),0,MATCH(OFFSET($D128,0,$C128)+IF($C128&lt;&gt;1,1,COUNTIF(QCI!$A$13:$A$24,ORÇAMENTO!E128)),OFFSET($D128,1,$C128,ROW($C$165)-ROW($C128)),0))</f>
        <v>0</v>
      </c>
      <c r="L128" s="116" t="str">
        <f t="shared" ca="1" si="137"/>
        <v>F</v>
      </c>
      <c r="M128" s="117" t="s">
        <v>199</v>
      </c>
      <c r="N128" s="118" t="str">
        <f t="shared" ca="1" si="138"/>
        <v>Serviço</v>
      </c>
      <c r="O128" s="119" t="str">
        <f t="shared" ca="1" si="139"/>
        <v>8.2.1.</v>
      </c>
      <c r="P128" s="120" t="s">
        <v>449</v>
      </c>
      <c r="Q128" s="121" t="s">
        <v>553</v>
      </c>
      <c r="R128" s="122" t="str">
        <f ca="1">IF($C128="S",REFERENCIA.Descricao,"(digite a descrição aqui)")</f>
        <v>BACIA SANITARIA (VASO) COM CAIXA ACOPLADA, SIFAO APARENTE, DE LOUCA BRANCA (SEM ASSENTO)</v>
      </c>
      <c r="S128" s="123" t="str">
        <f ca="1">REFERENCIA.Unidade</f>
        <v>UN</v>
      </c>
      <c r="T128" s="124">
        <f ca="1">OFFSET(CÁLCULO!H$15,ROW($T128)-ROW(T$15),0)</f>
        <v>4</v>
      </c>
      <c r="U128" s="125">
        <f t="shared" ca="1" si="120"/>
        <v>401.88</v>
      </c>
      <c r="V128" s="126" t="s">
        <v>156</v>
      </c>
      <c r="W128" s="124">
        <f ca="1">IF($C128="S",ROUND(IF(TIPOORCAMENTO="Proposto",ORÇAMENTO.CustoUnitario*(1+$AH128),ORÇAMENTO.PrecoUnitarioLicitado),15-13*$AF$10),0)</f>
        <v>483.66</v>
      </c>
      <c r="X128" s="127">
        <f ca="1">IF($C128="S",IF(Import.TipoArredondamento&lt;&gt;"TransfereGOV",VTOTAL1,SUM(OFFSET(CÁLCULO!$AA$15,ROW($X128)-ROW($X$15),1):OFFSET(CÁLCULO!$AL$15,ROW($X128)-ROW($X$15),-1))),IF($C128=0,0,ROUND(SomaAgrup,15-13*$AF$11)))</f>
        <v>1934.64</v>
      </c>
      <c r="Y128" s="128" t="s">
        <v>245</v>
      </c>
      <c r="Z128" t="str">
        <f t="shared" ca="1" si="140"/>
        <v>RA</v>
      </c>
      <c r="AA128" s="129">
        <f ca="1">IF($C128="S",IF($Z128="CP",$X128,IF($Z128="RA",(($X128)*QCI!$AA$3),0)),SomaAgrup)</f>
        <v>1934.64</v>
      </c>
      <c r="AB128" s="130">
        <f t="shared" ca="1" si="127"/>
        <v>0</v>
      </c>
      <c r="AC128" s="131" t="str">
        <f ca="1">IF($N128="","",IF(ORÇAMENTO.Descricao="","DESCRIÇÃO",IF(AND($C128="S",ORÇAMENTO.Unidade=""),"UNIDADE",IF($X128&lt;0,"VALOR NEGATIVO",IF(OR(AND(TIPOORCAMENTO="Proposto",$AG128&lt;&gt;"",$AG128&gt;0,ORÇAMENTO.CustoUnitario&gt;$AG128),AND(TIPOORCAMENTO="LICITADO",ORÇAMENTO.PrecoUnitarioLicitado&gt;$AN128)),"ACIMA REF.","")))))</f>
        <v/>
      </c>
      <c r="AD128" t="str">
        <f ca="1">IF(C128&lt;=CRONO.NivelExibicao,MAX($AD$15:OFFSET(AD128,-1,0))+IF($C128&lt;&gt;1,1,MAX(1,COUNTIF(QCI!$A$13:$A$24,OFFSET($E128,-1,0)))),"")</f>
        <v/>
      </c>
      <c r="AE128" s="7" t="str">
        <f ca="1">IF(AND($C128="S",ORÇAMENTO.CodBarra&lt;&gt;""),IF(ORÇAMENTO.Fonte="",ORÇAMENTO.CodBarra,CONCATENATE(ORÇAMENTO.Fonte," ",ORÇAMENTO.CodBarra)))</f>
        <v>SINAPI-I 10422</v>
      </c>
      <c r="AF128" s="13">
        <f ca="1">IF(ISERROR(INDIRECT(ORÇAMENTO.BancoRef)),"(abra o arquivo 'Referência "&amp;Excel_BuiltIn_Database&amp;".xlsm)",IF(OR($C128&lt;&gt;"S",ORÇAMENTO.CodBarra=""),"(Sem Código)",IF(ISERROR(MATCH($AE128,INDIRECT(ORÇAMENTO.BancoRef),0)),"(Código não identificado nas referências)",MATCH($AE128,INDIRECT(ORÇAMENTO.BancoRef),0))))</f>
        <v>405</v>
      </c>
      <c r="AG128" s="498">
        <f ca="1">ROUND(IF(DESONERACAO="sim",REFERENCIA.Desonerado,REFERENCIA.NaoDesonerado),2)</f>
        <v>401.88</v>
      </c>
      <c r="AH128" s="499">
        <f t="shared" ca="1" si="128"/>
        <v>0.20349999999999999</v>
      </c>
      <c r="AJ128" s="501">
        <v>4</v>
      </c>
      <c r="AL128" s="527"/>
      <c r="AM128" s="381">
        <f t="shared" ca="1" si="124"/>
        <v>1934.64</v>
      </c>
      <c r="AN128" s="566">
        <f t="shared" ca="1" si="129"/>
        <v>483.66</v>
      </c>
    </row>
    <row r="129" spans="1:40" x14ac:dyDescent="0.2">
      <c r="A129" t="str">
        <f t="shared" si="126"/>
        <v>S</v>
      </c>
      <c r="B129">
        <f t="shared" ca="1" si="130"/>
        <v>2</v>
      </c>
      <c r="C129" t="str">
        <f t="shared" ca="1" si="131"/>
        <v>S</v>
      </c>
      <c r="D129">
        <f t="shared" ca="1" si="132"/>
        <v>0</v>
      </c>
      <c r="E129">
        <f ca="1">IF($C129=1,OFFSET(E129,-1,0)+MAX(1,COUNTIF(QCI!$A$13:$A$24,OFFSET(ORÇAMENTO!E129,-1,0))),OFFSET(E129,-1,0))</f>
        <v>8</v>
      </c>
      <c r="F129">
        <f t="shared" ca="1" si="133"/>
        <v>2</v>
      </c>
      <c r="G129">
        <f t="shared" ca="1" si="134"/>
        <v>0</v>
      </c>
      <c r="H129">
        <f t="shared" ca="1" si="135"/>
        <v>0</v>
      </c>
      <c r="I129">
        <f t="shared" ca="1" si="136"/>
        <v>2</v>
      </c>
      <c r="J129">
        <f ca="1">IF(OR($C129="S",$C129=0),0,MATCH(0,OFFSET($D129,1,$C129,ROW($C$165)-ROW($C129)),0))</f>
        <v>0</v>
      </c>
      <c r="K129">
        <f ca="1">IF(OR($C129="S",$C129=0),0,MATCH(OFFSET($D129,0,$C129)+IF($C129&lt;&gt;1,1,COUNTIF(QCI!$A$13:$A$24,ORÇAMENTO!E129)),OFFSET($D129,1,$C129,ROW($C$165)-ROW($C129)),0))</f>
        <v>0</v>
      </c>
      <c r="L129" s="116" t="str">
        <f t="shared" ca="1" si="137"/>
        <v>F</v>
      </c>
      <c r="M129" s="117" t="s">
        <v>199</v>
      </c>
      <c r="N129" s="118" t="str">
        <f t="shared" ca="1" si="138"/>
        <v>Serviço</v>
      </c>
      <c r="O129" s="119" t="str">
        <f t="shared" ca="1" si="139"/>
        <v>8.2.2.</v>
      </c>
      <c r="P129" s="120" t="s">
        <v>449</v>
      </c>
      <c r="Q129" s="121" t="s">
        <v>478</v>
      </c>
      <c r="R129" s="122" t="str">
        <f ca="1">IF($C129="S",REFERENCIA.Descricao,"(digite a descrição aqui)")</f>
        <v>ASSENTO SANITARIO DE PLASTICO, TIPO CONVENCIONAL</v>
      </c>
      <c r="S129" s="123" t="str">
        <f ca="1">REFERENCIA.Unidade</f>
        <v>UN</v>
      </c>
      <c r="T129" s="124">
        <f ca="1">OFFSET(CÁLCULO!H$15,ROW($T129)-ROW(T$15),0)</f>
        <v>4</v>
      </c>
      <c r="U129" s="125">
        <f t="shared" ca="1" si="120"/>
        <v>47.9</v>
      </c>
      <c r="V129" s="126" t="s">
        <v>156</v>
      </c>
      <c r="W129" s="124">
        <f ca="1">IF($C129="S",ROUND(IF(TIPOORCAMENTO="Proposto",ORÇAMENTO.CustoUnitario*(1+$AH129),ORÇAMENTO.PrecoUnitarioLicitado),15-13*$AF$10),0)</f>
        <v>57.65</v>
      </c>
      <c r="X129" s="127">
        <f ca="1">IF($C129="S",IF(Import.TipoArredondamento&lt;&gt;"TransfereGOV",VTOTAL1,SUM(OFFSET(CÁLCULO!$AA$15,ROW($X129)-ROW($X$15),1):OFFSET(CÁLCULO!$AL$15,ROW($X129)-ROW($X$15),-1))),IF($C129=0,0,ROUND(SomaAgrup,15-13*$AF$11)))</f>
        <v>230.6</v>
      </c>
      <c r="Y129" s="128" t="s">
        <v>245</v>
      </c>
      <c r="Z129" t="str">
        <f t="shared" ca="1" si="140"/>
        <v>RA</v>
      </c>
      <c r="AA129" s="129">
        <f ca="1">IF($C129="S",IF($Z129="CP",$X129,IF($Z129="RA",(($X129)*QCI!$AA$3),0)),SomaAgrup)</f>
        <v>230.6</v>
      </c>
      <c r="AB129" s="130">
        <f t="shared" ca="1" si="127"/>
        <v>0</v>
      </c>
      <c r="AC129" s="131" t="str">
        <f ca="1">IF($N129="","",IF(ORÇAMENTO.Descricao="","DESCRIÇÃO",IF(AND($C129="S",ORÇAMENTO.Unidade=""),"UNIDADE",IF($X129&lt;0,"VALOR NEGATIVO",IF(OR(AND(TIPOORCAMENTO="Proposto",$AG129&lt;&gt;"",$AG129&gt;0,ORÇAMENTO.CustoUnitario&gt;$AG129),AND(TIPOORCAMENTO="LICITADO",ORÇAMENTO.PrecoUnitarioLicitado&gt;$AN129)),"ACIMA REF.","")))))</f>
        <v/>
      </c>
      <c r="AD129" t="str">
        <f ca="1">IF(C129&lt;=CRONO.NivelExibicao,MAX($AD$15:OFFSET(AD129,-1,0))+IF($C129&lt;&gt;1,1,MAX(1,COUNTIF(QCI!$A$13:$A$24,OFFSET($E129,-1,0)))),"")</f>
        <v/>
      </c>
      <c r="AE129" s="7" t="str">
        <f ca="1">IF(AND($C129="S",ORÇAMENTO.CodBarra&lt;&gt;""),IF(ORÇAMENTO.Fonte="",ORÇAMENTO.CodBarra,CONCATENATE(ORÇAMENTO.Fonte," ",ORÇAMENTO.CodBarra)))</f>
        <v>SINAPI-I 377</v>
      </c>
      <c r="AF129" s="13">
        <f ca="1">IF(ISERROR(INDIRECT(ORÇAMENTO.BancoRef)),"(abra o arquivo 'Referência "&amp;Excel_BuiltIn_Database&amp;".xlsm)",IF(OR($C129&lt;&gt;"S",ORÇAMENTO.CodBarra=""),"(Sem Código)",IF(ISERROR(MATCH($AE129,INDIRECT(ORÇAMENTO.BancoRef),0)),"(Código não identificado nas referências)",MATCH($AE129,INDIRECT(ORÇAMENTO.BancoRef),0))))</f>
        <v>380</v>
      </c>
      <c r="AG129" s="498">
        <f ca="1">ROUND(IF(DESONERACAO="sim",REFERENCIA.Desonerado,REFERENCIA.NaoDesonerado),2)</f>
        <v>47.9</v>
      </c>
      <c r="AH129" s="499">
        <f t="shared" ca="1" si="128"/>
        <v>0.20349999999999999</v>
      </c>
      <c r="AJ129" s="501">
        <v>4</v>
      </c>
      <c r="AL129" s="527"/>
      <c r="AM129" s="381">
        <f t="shared" ca="1" si="124"/>
        <v>230.6</v>
      </c>
      <c r="AN129" s="566">
        <f t="shared" ca="1" si="129"/>
        <v>57.65</v>
      </c>
    </row>
    <row r="130" spans="1:40" ht="25.5" x14ac:dyDescent="0.2">
      <c r="A130" t="str">
        <f t="shared" si="126"/>
        <v>S</v>
      </c>
      <c r="B130">
        <f t="shared" ca="1" si="130"/>
        <v>2</v>
      </c>
      <c r="C130" t="str">
        <f t="shared" ca="1" si="131"/>
        <v>S</v>
      </c>
      <c r="D130">
        <f t="shared" ca="1" si="132"/>
        <v>0</v>
      </c>
      <c r="E130">
        <f ca="1">IF($C130=1,OFFSET(E130,-1,0)+MAX(1,COUNTIF(QCI!$A$13:$A$24,OFFSET(ORÇAMENTO!E130,-1,0))),OFFSET(E130,-1,0))</f>
        <v>8</v>
      </c>
      <c r="F130">
        <f t="shared" ca="1" si="133"/>
        <v>2</v>
      </c>
      <c r="G130">
        <f t="shared" ca="1" si="134"/>
        <v>0</v>
      </c>
      <c r="H130">
        <f t="shared" ca="1" si="135"/>
        <v>0</v>
      </c>
      <c r="I130">
        <f t="shared" ca="1" si="136"/>
        <v>3</v>
      </c>
      <c r="J130">
        <f ca="1">IF(OR($C130="S",$C130=0),0,MATCH(0,OFFSET($D130,1,$C130,ROW($C$165)-ROW($C130)),0))</f>
        <v>0</v>
      </c>
      <c r="K130">
        <f ca="1">IF(OR($C130="S",$C130=0),0,MATCH(OFFSET($D130,0,$C130)+IF($C130&lt;&gt;1,1,COUNTIF(QCI!$A$13:$A$24,ORÇAMENTO!E130)),OFFSET($D130,1,$C130,ROW($C$165)-ROW($C130)),0))</f>
        <v>0</v>
      </c>
      <c r="L130" s="116" t="str">
        <f t="shared" ca="1" si="137"/>
        <v>F</v>
      </c>
      <c r="M130" s="117" t="s">
        <v>199</v>
      </c>
      <c r="N130" s="118" t="str">
        <f t="shared" ca="1" si="138"/>
        <v>Serviço</v>
      </c>
      <c r="O130" s="119" t="str">
        <f t="shared" ca="1" si="139"/>
        <v>8.2.3.</v>
      </c>
      <c r="P130" s="120" t="s">
        <v>449</v>
      </c>
      <c r="Q130" s="121" t="s">
        <v>479</v>
      </c>
      <c r="R130" s="122" t="str">
        <f ca="1">IF($C130="S",REFERENCIA.Descricao,"(digite a descrição aqui)")</f>
        <v>LAVATORIO DE CANTO DE LOUCA BRANCA, SUSPENSO (SEM COLUNA), DIMENSOES *40 X 30* CM (L X C)</v>
      </c>
      <c r="S130" s="123" t="str">
        <f ca="1">REFERENCIA.Unidade</f>
        <v>UN</v>
      </c>
      <c r="T130" s="124">
        <f ca="1">OFFSET(CÁLCULO!H$15,ROW($T130)-ROW(T$15),0)</f>
        <v>4</v>
      </c>
      <c r="U130" s="125">
        <f t="shared" ca="1" si="120"/>
        <v>160.94999999999999</v>
      </c>
      <c r="V130" s="126" t="s">
        <v>156</v>
      </c>
      <c r="W130" s="124">
        <f ca="1">IF($C130="S",ROUND(IF(TIPOORCAMENTO="Proposto",ORÇAMENTO.CustoUnitario*(1+$AH130),ORÇAMENTO.PrecoUnitarioLicitado),15-13*$AF$10),0)</f>
        <v>193.7</v>
      </c>
      <c r="X130" s="127">
        <f ca="1">IF($C130="S",IF(Import.TipoArredondamento&lt;&gt;"TransfereGOV",VTOTAL1,SUM(OFFSET(CÁLCULO!$AA$15,ROW($X130)-ROW($X$15),1):OFFSET(CÁLCULO!$AL$15,ROW($X130)-ROW($X$15),-1))),IF($C130=0,0,ROUND(SomaAgrup,15-13*$AF$11)))</f>
        <v>774.8</v>
      </c>
      <c r="Y130" s="128" t="s">
        <v>245</v>
      </c>
      <c r="Z130" t="str">
        <f t="shared" ca="1" si="140"/>
        <v>RA</v>
      </c>
      <c r="AA130" s="129">
        <f ca="1">IF($C130="S",IF($Z130="CP",$X130,IF($Z130="RA",(($X130)*QCI!$AA$3),0)),SomaAgrup)</f>
        <v>774.8</v>
      </c>
      <c r="AB130" s="130">
        <f t="shared" ca="1" si="127"/>
        <v>0</v>
      </c>
      <c r="AC130" s="131" t="str">
        <f ca="1">IF($N130="","",IF(ORÇAMENTO.Descricao="","DESCRIÇÃO",IF(AND($C130="S",ORÇAMENTO.Unidade=""),"UNIDADE",IF($X130&lt;0,"VALOR NEGATIVO",IF(OR(AND(TIPOORCAMENTO="Proposto",$AG130&lt;&gt;"",$AG130&gt;0,ORÇAMENTO.CustoUnitario&gt;$AG130),AND(TIPOORCAMENTO="LICITADO",ORÇAMENTO.PrecoUnitarioLicitado&gt;$AN130)),"ACIMA REF.","")))))</f>
        <v/>
      </c>
      <c r="AD130" t="str">
        <f ca="1">IF(C130&lt;=CRONO.NivelExibicao,MAX($AD$15:OFFSET(AD130,-1,0))+IF($C130&lt;&gt;1,1,MAX(1,COUNTIF(QCI!$A$13:$A$24,OFFSET($E130,-1,0)))),"")</f>
        <v/>
      </c>
      <c r="AE130" s="7" t="str">
        <f ca="1">IF(AND($C130="S",ORÇAMENTO.CodBarra&lt;&gt;""),IF(ORÇAMENTO.Fonte="",ORÇAMENTO.CodBarra,CONCATENATE(ORÇAMENTO.Fonte," ",ORÇAMENTO.CodBarra)))</f>
        <v>SINAPI-I 36521</v>
      </c>
      <c r="AF130" s="13">
        <f ca="1">IF(ISERROR(INDIRECT(ORÇAMENTO.BancoRef)),"(abra o arquivo 'Referência "&amp;Excel_BuiltIn_Database&amp;".xlsm)",IF(OR($C130&lt;&gt;"S",ORÇAMENTO.CodBarra=""),"(Sem Código)",IF(ISERROR(MATCH($AE130,INDIRECT(ORÇAMENTO.BancoRef),0)),"(Código não identificado nas referências)",MATCH($AE130,INDIRECT(ORÇAMENTO.BancoRef),0))))</f>
        <v>2584</v>
      </c>
      <c r="AG130" s="498">
        <f ca="1">ROUND(IF(DESONERACAO="sim",REFERENCIA.Desonerado,REFERENCIA.NaoDesonerado),2)</f>
        <v>160.94999999999999</v>
      </c>
      <c r="AH130" s="499">
        <f t="shared" ca="1" si="128"/>
        <v>0.20349999999999999</v>
      </c>
      <c r="AJ130" s="501">
        <v>4</v>
      </c>
      <c r="AL130" s="527"/>
      <c r="AM130" s="381">
        <f t="shared" ca="1" si="124"/>
        <v>774.8</v>
      </c>
      <c r="AN130" s="566">
        <f t="shared" ca="1" si="129"/>
        <v>193.7</v>
      </c>
    </row>
    <row r="131" spans="1:40" ht="25.5" x14ac:dyDescent="0.2">
      <c r="A131" t="str">
        <f t="shared" si="126"/>
        <v>S</v>
      </c>
      <c r="B131">
        <f t="shared" ca="1" si="130"/>
        <v>2</v>
      </c>
      <c r="C131" t="str">
        <f t="shared" ca="1" si="131"/>
        <v>S</v>
      </c>
      <c r="D131">
        <f t="shared" ca="1" si="132"/>
        <v>0</v>
      </c>
      <c r="E131">
        <f ca="1">IF($C131=1,OFFSET(E131,-1,0)+MAX(1,COUNTIF(QCI!$A$13:$A$24,OFFSET(ORÇAMENTO!E131,-1,0))),OFFSET(E131,-1,0))</f>
        <v>8</v>
      </c>
      <c r="F131">
        <f t="shared" ca="1" si="133"/>
        <v>2</v>
      </c>
      <c r="G131">
        <f t="shared" ca="1" si="134"/>
        <v>0</v>
      </c>
      <c r="H131">
        <f t="shared" ca="1" si="135"/>
        <v>0</v>
      </c>
      <c r="I131">
        <f t="shared" ca="1" si="136"/>
        <v>4</v>
      </c>
      <c r="J131">
        <f ca="1">IF(OR($C131="S",$C131=0),0,MATCH(0,OFFSET($D131,1,$C131,ROW($C$165)-ROW($C131)),0))</f>
        <v>0</v>
      </c>
      <c r="K131">
        <f ca="1">IF(OR($C131="S",$C131=0),0,MATCH(OFFSET($D131,0,$C131)+IF($C131&lt;&gt;1,1,COUNTIF(QCI!$A$13:$A$24,ORÇAMENTO!E131)),OFFSET($D131,1,$C131,ROW($C$165)-ROW($C131)),0))</f>
        <v>0</v>
      </c>
      <c r="L131" s="116" t="str">
        <f t="shared" ca="1" si="137"/>
        <v>F</v>
      </c>
      <c r="M131" s="117" t="s">
        <v>199</v>
      </c>
      <c r="N131" s="118" t="str">
        <f t="shared" ca="1" si="138"/>
        <v>Serviço</v>
      </c>
      <c r="O131" s="119" t="str">
        <f t="shared" ca="1" si="139"/>
        <v>8.2.4.</v>
      </c>
      <c r="P131" s="120" t="s">
        <v>247</v>
      </c>
      <c r="Q131" s="121" t="s">
        <v>511</v>
      </c>
      <c r="R131" s="122" t="str">
        <f ca="1">IF($C131="S",REFERENCIA.Descricao,"(digite a descrição aqui)")</f>
        <v>TORNEIRA CROMADA DE MESA, 1/2" OU 3/4", PARA LAVATÓRIO, PADRÃO MÉDIO - FORNECIMENTO E INSTALAÇÃO. AF_02/2026</v>
      </c>
      <c r="S131" s="123" t="str">
        <f ca="1">REFERENCIA.Unidade</f>
        <v>UN</v>
      </c>
      <c r="T131" s="124">
        <f ca="1">OFFSET(CÁLCULO!H$15,ROW($T131)-ROW(T$15),0)</f>
        <v>4</v>
      </c>
      <c r="U131" s="125">
        <f t="shared" ca="1" si="120"/>
        <v>199.84</v>
      </c>
      <c r="V131" s="126" t="s">
        <v>156</v>
      </c>
      <c r="W131" s="124">
        <f ca="1">IF($C131="S",ROUND(IF(TIPOORCAMENTO="Proposto",ORÇAMENTO.CustoUnitario*(1+$AH131),ORÇAMENTO.PrecoUnitarioLicitado),15-13*$AF$10),0)</f>
        <v>240.51</v>
      </c>
      <c r="X131" s="127">
        <f ca="1">IF($C131="S",IF(Import.TipoArredondamento&lt;&gt;"TransfereGOV",VTOTAL1,SUM(OFFSET(CÁLCULO!$AA$15,ROW($X131)-ROW($X$15),1):OFFSET(CÁLCULO!$AL$15,ROW($X131)-ROW($X$15),-1))),IF($C131=0,0,ROUND(SomaAgrup,15-13*$AF$11)))</f>
        <v>962.04</v>
      </c>
      <c r="Y131" s="128" t="s">
        <v>245</v>
      </c>
      <c r="Z131" t="str">
        <f t="shared" ca="1" si="140"/>
        <v>RA</v>
      </c>
      <c r="AA131" s="129">
        <f ca="1">IF($C131="S",IF($Z131="CP",$X131,IF($Z131="RA",(($X131)*QCI!$AA$3),0)),SomaAgrup)</f>
        <v>962.04</v>
      </c>
      <c r="AB131" s="130">
        <f t="shared" ca="1" si="127"/>
        <v>0</v>
      </c>
      <c r="AC131" s="131" t="str">
        <f ca="1">IF($N131="","",IF(ORÇAMENTO.Descricao="","DESCRIÇÃO",IF(AND($C131="S",ORÇAMENTO.Unidade=""),"UNIDADE",IF($X131&lt;0,"VALOR NEGATIVO",IF(OR(AND(TIPOORCAMENTO="Proposto",$AG131&lt;&gt;"",$AG131&gt;0,ORÇAMENTO.CustoUnitario&gt;$AG131),AND(TIPOORCAMENTO="LICITADO",ORÇAMENTO.PrecoUnitarioLicitado&gt;$AN131)),"ACIMA REF.","")))))</f>
        <v/>
      </c>
      <c r="AD131" t="str">
        <f ca="1">IF(C131&lt;=CRONO.NivelExibicao,MAX($AD$15:OFFSET(AD131,-1,0))+IF($C131&lt;&gt;1,1,MAX(1,COUNTIF(QCI!$A$13:$A$24,OFFSET($E131,-1,0)))),"")</f>
        <v/>
      </c>
      <c r="AE131" s="7" t="str">
        <f ca="1">IF(AND($C131="S",ORÇAMENTO.CodBarra&lt;&gt;""),IF(ORÇAMENTO.Fonte="",ORÇAMENTO.CodBarra,CONCATENATE(ORÇAMENTO.Fonte," ",ORÇAMENTO.CodBarra)))</f>
        <v>SINAPI 86915</v>
      </c>
      <c r="AF131" s="13">
        <f ca="1">IF(ISERROR(INDIRECT(ORÇAMENTO.BancoRef)),"(abra o arquivo 'Referência "&amp;Excel_BuiltIn_Database&amp;".xlsm)",IF(OR($C131&lt;&gt;"S",ORÇAMENTO.CodBarra=""),"(Sem Código)",IF(ISERROR(MATCH($AE131,INDIRECT(ORÇAMENTO.BancoRef),0)),"(Código não identificado nas referências)",MATCH($AE131,INDIRECT(ORÇAMENTO.BancoRef),0))))</f>
        <v>13819</v>
      </c>
      <c r="AG131" s="498">
        <f ca="1">ROUND(IF(DESONERACAO="sim",REFERENCIA.Desonerado,REFERENCIA.NaoDesonerado),2)</f>
        <v>199.84</v>
      </c>
      <c r="AH131" s="499">
        <f t="shared" ca="1" si="128"/>
        <v>0.20349999999999999</v>
      </c>
      <c r="AJ131" s="501">
        <v>4</v>
      </c>
      <c r="AL131" s="527"/>
      <c r="AM131" s="381">
        <f t="shared" ca="1" si="124"/>
        <v>962.04</v>
      </c>
      <c r="AN131" s="566">
        <f t="shared" ca="1" si="129"/>
        <v>240.51</v>
      </c>
    </row>
    <row r="132" spans="1:40" ht="25.5" x14ac:dyDescent="0.2">
      <c r="A132" t="str">
        <f t="shared" si="126"/>
        <v>S</v>
      </c>
      <c r="B132">
        <f t="shared" ca="1" si="130"/>
        <v>2</v>
      </c>
      <c r="C132" t="str">
        <f t="shared" ca="1" si="131"/>
        <v>S</v>
      </c>
      <c r="D132">
        <f t="shared" ca="1" si="132"/>
        <v>0</v>
      </c>
      <c r="E132">
        <f ca="1">IF($C132=1,OFFSET(E132,-1,0)+MAX(1,COUNTIF(QCI!$A$13:$A$24,OFFSET(ORÇAMENTO!E132,-1,0))),OFFSET(E132,-1,0))</f>
        <v>8</v>
      </c>
      <c r="F132">
        <f t="shared" ca="1" si="133"/>
        <v>2</v>
      </c>
      <c r="G132">
        <f t="shared" ca="1" si="134"/>
        <v>0</v>
      </c>
      <c r="H132">
        <f t="shared" ca="1" si="135"/>
        <v>0</v>
      </c>
      <c r="I132">
        <f t="shared" ca="1" si="136"/>
        <v>5</v>
      </c>
      <c r="J132">
        <f ca="1">IF(OR($C132="S",$C132=0),0,MATCH(0,OFFSET($D132,1,$C132,ROW($C$165)-ROW($C132)),0))</f>
        <v>0</v>
      </c>
      <c r="K132">
        <f ca="1">IF(OR($C132="S",$C132=0),0,MATCH(OFFSET($D132,0,$C132)+IF($C132&lt;&gt;1,1,COUNTIF(QCI!$A$13:$A$24,ORÇAMENTO!E132)),OFFSET($D132,1,$C132,ROW($C$165)-ROW($C132)),0))</f>
        <v>0</v>
      </c>
      <c r="L132" s="116" t="str">
        <f t="shared" ca="1" si="137"/>
        <v>F</v>
      </c>
      <c r="M132" s="117" t="s">
        <v>199</v>
      </c>
      <c r="N132" s="118" t="str">
        <f t="shared" ca="1" si="138"/>
        <v>Serviço</v>
      </c>
      <c r="O132" s="119" t="str">
        <f t="shared" ca="1" si="139"/>
        <v>8.2.5.</v>
      </c>
      <c r="P132" s="120" t="s">
        <v>247</v>
      </c>
      <c r="Q132" s="121" t="s">
        <v>512</v>
      </c>
      <c r="R132" s="122" t="str">
        <f ca="1">IF($C132="S",REFERENCIA.Descricao,"(digite a descrição aqui)")</f>
        <v>SABONETEIRA PLÁSTICA TIPO DISPENSER PARA SABONETE LÍQUIDO COM RESERVATÓRIO 800 A 1500 ML, INCLUSO FIXAÇÃO. AF_02/2026</v>
      </c>
      <c r="S132" s="123" t="str">
        <f ca="1">REFERENCIA.Unidade</f>
        <v>UN</v>
      </c>
      <c r="T132" s="124">
        <f ca="1">OFFSET(CÁLCULO!H$15,ROW($T132)-ROW(T$15),0)</f>
        <v>4</v>
      </c>
      <c r="U132" s="125">
        <f t="shared" ca="1" si="120"/>
        <v>77.52</v>
      </c>
      <c r="V132" s="126" t="s">
        <v>156</v>
      </c>
      <c r="W132" s="124">
        <f ca="1">IF($C132="S",ROUND(IF(TIPOORCAMENTO="Proposto",ORÇAMENTO.CustoUnitario*(1+$AH132),ORÇAMENTO.PrecoUnitarioLicitado),15-13*$AF$10),0)</f>
        <v>93.3</v>
      </c>
      <c r="X132" s="127">
        <f ca="1">IF($C132="S",IF(Import.TipoArredondamento&lt;&gt;"TransfereGOV",VTOTAL1,SUM(OFFSET(CÁLCULO!$AA$15,ROW($X132)-ROW($X$15),1):OFFSET(CÁLCULO!$AL$15,ROW($X132)-ROW($X$15),-1))),IF($C132=0,0,ROUND(SomaAgrup,15-13*$AF$11)))</f>
        <v>373.2</v>
      </c>
      <c r="Y132" s="128" t="s">
        <v>245</v>
      </c>
      <c r="Z132" t="str">
        <f t="shared" ca="1" si="140"/>
        <v>RA</v>
      </c>
      <c r="AA132" s="129">
        <f ca="1">IF($C132="S",IF($Z132="CP",$X132,IF($Z132="RA",(($X132)*QCI!$AA$3),0)),SomaAgrup)</f>
        <v>373.2</v>
      </c>
      <c r="AB132" s="130">
        <f t="shared" ca="1" si="127"/>
        <v>0</v>
      </c>
      <c r="AC132" s="131" t="str">
        <f ca="1">IF($N132="","",IF(ORÇAMENTO.Descricao="","DESCRIÇÃO",IF(AND($C132="S",ORÇAMENTO.Unidade=""),"UNIDADE",IF($X132&lt;0,"VALOR NEGATIVO",IF(OR(AND(TIPOORCAMENTO="Proposto",$AG132&lt;&gt;"",$AG132&gt;0,ORÇAMENTO.CustoUnitario&gt;$AG132),AND(TIPOORCAMENTO="LICITADO",ORÇAMENTO.PrecoUnitarioLicitado&gt;$AN132)),"ACIMA REF.","")))))</f>
        <v/>
      </c>
      <c r="AD132" t="str">
        <f ca="1">IF(C132&lt;=CRONO.NivelExibicao,MAX($AD$15:OFFSET(AD132,-1,0))+IF($C132&lt;&gt;1,1,MAX(1,COUNTIF(QCI!$A$13:$A$24,OFFSET($E132,-1,0)))),"")</f>
        <v/>
      </c>
      <c r="AE132" s="7" t="str">
        <f ca="1">IF(AND($C132="S",ORÇAMENTO.CodBarra&lt;&gt;""),IF(ORÇAMENTO.Fonte="",ORÇAMENTO.CodBarra,CONCATENATE(ORÇAMENTO.Fonte," ",ORÇAMENTO.CodBarra)))</f>
        <v>SINAPI 95547</v>
      </c>
      <c r="AF132" s="13">
        <f ca="1">IF(ISERROR(INDIRECT(ORÇAMENTO.BancoRef)),"(abra o arquivo 'Referência "&amp;Excel_BuiltIn_Database&amp;".xlsm)",IF(OR($C132&lt;&gt;"S",ORÇAMENTO.CodBarra=""),"(Sem Código)",IF(ISERROR(MATCH($AE132,INDIRECT(ORÇAMENTO.BancoRef),0)),"(Código não identificado nas referências)",MATCH($AE132,INDIRECT(ORÇAMENTO.BancoRef),0))))</f>
        <v>13790</v>
      </c>
      <c r="AG132" s="498">
        <f ca="1">ROUND(IF(DESONERACAO="sim",REFERENCIA.Desonerado,REFERENCIA.NaoDesonerado),2)</f>
        <v>77.52</v>
      </c>
      <c r="AH132" s="499">
        <f t="shared" ca="1" si="128"/>
        <v>0.20349999999999999</v>
      </c>
      <c r="AJ132" s="501">
        <v>4</v>
      </c>
      <c r="AL132" s="527"/>
      <c r="AM132" s="381">
        <f t="shared" ca="1" si="124"/>
        <v>373.2</v>
      </c>
      <c r="AN132" s="566">
        <f t="shared" ca="1" si="129"/>
        <v>93.3</v>
      </c>
    </row>
    <row r="133" spans="1:40" ht="25.5" x14ac:dyDescent="0.2">
      <c r="A133" t="str">
        <f t="shared" si="126"/>
        <v>S</v>
      </c>
      <c r="B133">
        <f t="shared" ca="1" si="130"/>
        <v>2</v>
      </c>
      <c r="C133" t="str">
        <f t="shared" ca="1" si="131"/>
        <v>S</v>
      </c>
      <c r="D133">
        <f t="shared" ca="1" si="132"/>
        <v>0</v>
      </c>
      <c r="E133">
        <f ca="1">IF($C133=1,OFFSET(E133,-1,0)+MAX(1,COUNTIF(QCI!$A$13:$A$24,OFFSET(ORÇAMENTO!E133,-1,0))),OFFSET(E133,-1,0))</f>
        <v>8</v>
      </c>
      <c r="F133">
        <f t="shared" ca="1" si="133"/>
        <v>2</v>
      </c>
      <c r="G133">
        <f t="shared" ca="1" si="134"/>
        <v>0</v>
      </c>
      <c r="H133">
        <f t="shared" ca="1" si="135"/>
        <v>0</v>
      </c>
      <c r="I133">
        <f t="shared" ca="1" si="136"/>
        <v>6</v>
      </c>
      <c r="J133">
        <f ca="1">IF(OR($C133="S",$C133=0),0,MATCH(0,OFFSET($D133,1,$C133,ROW($C$165)-ROW($C133)),0))</f>
        <v>0</v>
      </c>
      <c r="K133">
        <f ca="1">IF(OR($C133="S",$C133=0),0,MATCH(OFFSET($D133,0,$C133)+IF($C133&lt;&gt;1,1,COUNTIF(QCI!$A$13:$A$24,ORÇAMENTO!E133)),OFFSET($D133,1,$C133,ROW($C$165)-ROW($C133)),0))</f>
        <v>0</v>
      </c>
      <c r="L133" s="116" t="str">
        <f t="shared" ca="1" si="137"/>
        <v>F</v>
      </c>
      <c r="M133" s="117" t="s">
        <v>199</v>
      </c>
      <c r="N133" s="118" t="str">
        <f t="shared" ca="1" si="138"/>
        <v>Serviço</v>
      </c>
      <c r="O133" s="119" t="str">
        <f t="shared" ca="1" si="139"/>
        <v>8.2.6.</v>
      </c>
      <c r="P133" s="120" t="s">
        <v>449</v>
      </c>
      <c r="Q133" s="121" t="s">
        <v>513</v>
      </c>
      <c r="R133" s="122" t="str">
        <f ca="1">IF($C133="S",REFERENCIA.Descricao,"(digite a descrição aqui)")</f>
        <v>PAPELEIRA PLASTICA TIPO DISPENSER PARA PAPEL HIGIENICO ROLAO</v>
      </c>
      <c r="S133" s="123" t="str">
        <f ca="1">REFERENCIA.Unidade</f>
        <v>UN</v>
      </c>
      <c r="T133" s="124">
        <f ca="1">OFFSET(CÁLCULO!H$15,ROW($T133)-ROW(T$15),0)</f>
        <v>4</v>
      </c>
      <c r="U133" s="125">
        <f t="shared" ca="1" si="120"/>
        <v>61.42</v>
      </c>
      <c r="V133" s="126" t="s">
        <v>156</v>
      </c>
      <c r="W133" s="124">
        <f ca="1">IF($C133="S",ROUND(IF(TIPOORCAMENTO="Proposto",ORÇAMENTO.CustoUnitario*(1+$AH133),ORÇAMENTO.PrecoUnitarioLicitado),15-13*$AF$10),0)</f>
        <v>73.92</v>
      </c>
      <c r="X133" s="127">
        <f ca="1">IF($C133="S",IF(Import.TipoArredondamento&lt;&gt;"TransfereGOV",VTOTAL1,SUM(OFFSET(CÁLCULO!$AA$15,ROW($X133)-ROW($X$15),1):OFFSET(CÁLCULO!$AL$15,ROW($X133)-ROW($X$15),-1))),IF($C133=0,0,ROUND(SomaAgrup,15-13*$AF$11)))</f>
        <v>295.68</v>
      </c>
      <c r="Y133" s="128" t="s">
        <v>245</v>
      </c>
      <c r="Z133" t="str">
        <f t="shared" ca="1" si="140"/>
        <v>RA</v>
      </c>
      <c r="AA133" s="129">
        <f ca="1">IF($C133="S",IF($Z133="CP",$X133,IF($Z133="RA",(($X133)*QCI!$AA$3),0)),SomaAgrup)</f>
        <v>295.68</v>
      </c>
      <c r="AB133" s="130">
        <f t="shared" ca="1" si="127"/>
        <v>0</v>
      </c>
      <c r="AC133" s="131" t="str">
        <f ca="1">IF($N133="","",IF(ORÇAMENTO.Descricao="","DESCRIÇÃO",IF(AND($C133="S",ORÇAMENTO.Unidade=""),"UNIDADE",IF($X133&lt;0,"VALOR NEGATIVO",IF(OR(AND(TIPOORCAMENTO="Proposto",$AG133&lt;&gt;"",$AG133&gt;0,ORÇAMENTO.CustoUnitario&gt;$AG133),AND(TIPOORCAMENTO="LICITADO",ORÇAMENTO.PrecoUnitarioLicitado&gt;$AN133)),"ACIMA REF.","")))))</f>
        <v/>
      </c>
      <c r="AD133" t="str">
        <f ca="1">IF(C133&lt;=CRONO.NivelExibicao,MAX($AD$15:OFFSET(AD133,-1,0))+IF($C133&lt;&gt;1,1,MAX(1,COUNTIF(QCI!$A$13:$A$24,OFFSET($E133,-1,0)))),"")</f>
        <v/>
      </c>
      <c r="AE133" s="7" t="str">
        <f ca="1">IF(AND($C133="S",ORÇAMENTO.CodBarra&lt;&gt;""),IF(ORÇAMENTO.Fonte="",ORÇAMENTO.CodBarra,CONCATENATE(ORÇAMENTO.Fonte," ",ORÇAMENTO.CodBarra)))</f>
        <v>SINAPI-I 37400</v>
      </c>
      <c r="AF133" s="13">
        <f ca="1">IF(ISERROR(INDIRECT(ORÇAMENTO.BancoRef)),"(abra o arquivo 'Referência "&amp;Excel_BuiltIn_Database&amp;".xlsm)",IF(OR($C133&lt;&gt;"S",ORÇAMENTO.CodBarra=""),"(Sem Código)",IF(ISERROR(MATCH($AE133,INDIRECT(ORÇAMENTO.BancoRef),0)),"(Código não identificado nas referências)",MATCH($AE133,INDIRECT(ORÇAMENTO.BancoRef),0))))</f>
        <v>3169</v>
      </c>
      <c r="AG133" s="498">
        <f ca="1">ROUND(IF(DESONERACAO="sim",REFERENCIA.Desonerado,REFERENCIA.NaoDesonerado),2)</f>
        <v>61.42</v>
      </c>
      <c r="AH133" s="499">
        <f t="shared" ca="1" si="128"/>
        <v>0.20349999999999999</v>
      </c>
      <c r="AJ133" s="501">
        <v>4</v>
      </c>
      <c r="AL133" s="527"/>
      <c r="AM133" s="381">
        <f t="shared" ca="1" si="124"/>
        <v>295.68</v>
      </c>
      <c r="AN133" s="566">
        <f t="shared" ca="1" si="129"/>
        <v>73.92</v>
      </c>
    </row>
    <row r="134" spans="1:40" ht="25.5" x14ac:dyDescent="0.2">
      <c r="A134" t="str">
        <f>CHOOSE(1+LOG(1+2*(ORÇAMENTO.Nivel="Meta")+4*(ORÇAMENTO.Nivel="Nível 2")+8*(ORÇAMENTO.Nivel="Nível 3")+16*(ORÇAMENTO.Nivel="Nível 4")+32*(ORÇAMENTO.Nivel="Serviço"),2),0,1,2,3,4,"S")</f>
        <v>S</v>
      </c>
      <c r="B134">
        <f ca="1">IF(OR(C134="s",C134=0),OFFSET(B134,-1,0),C134)</f>
        <v>2</v>
      </c>
      <c r="C134" t="str">
        <f ca="1">IF(OFFSET(C134,-1,0)="L",1,IF(OFFSET(C134,-1,0)=1,2,IF(OR(A134="s",A134=0),"S",IF(AND(OFFSET(C134,-1,0)=2,A134=4),3,IF(AND(OR(OFFSET(C134,-1,0)="s",OFFSET(C134,-1,0)=0),A134&lt;&gt;"s",A134&gt;OFFSET(B134,-1,0)),OFFSET(B134,-1,0),A134)))))</f>
        <v>S</v>
      </c>
      <c r="D134">
        <f ca="1">IF(OR(C134="S",C134=0),0,IF(ISERROR(K134),J134,SMALL(J134:K134,1)))</f>
        <v>0</v>
      </c>
      <c r="E134">
        <f ca="1">IF($C134=1,OFFSET(E134,-1,0)+MAX(1,COUNTIF(QCI!$A$13:$A$24,OFFSET(ORÇAMENTO!E134,-1,0))),OFFSET(E134,-1,0))</f>
        <v>8</v>
      </c>
      <c r="F134">
        <f ca="1">IF($C134=1,0,IF($C134=2,OFFSET(F134,-1,0)+1,OFFSET(F134,-1,0)))</f>
        <v>2</v>
      </c>
      <c r="G134">
        <f ca="1">IF(AND($C134&lt;=2,$C134&lt;&gt;0),0,IF($C134=3,OFFSET(G134,-1,0)+1,OFFSET(G134,-1,0)))</f>
        <v>0</v>
      </c>
      <c r="H134">
        <f ca="1">IF(AND($C134&lt;=3,$C134&lt;&gt;0),0,IF($C134=4,OFFSET(H134,-1,0)+1,OFFSET(H134,-1,0)))</f>
        <v>0</v>
      </c>
      <c r="I134">
        <f ca="1">IF(AND($C134&lt;=4,$C134&lt;&gt;0),0,IF(AND($C134="S",$X134&gt;0),OFFSET(I134,-1,0)+1,OFFSET(I134,-1,0)))</f>
        <v>7</v>
      </c>
      <c r="J134">
        <f ca="1">IF(OR($C134="S",$C134=0),0,MATCH(0,OFFSET($D134,1,$C134,ROW($C$165)-ROW($C134)),0))</f>
        <v>0</v>
      </c>
      <c r="K134">
        <f ca="1">IF(OR($C134="S",$C134=0),0,MATCH(OFFSET($D134,0,$C134)+IF($C134&lt;&gt;1,1,COUNTIF(QCI!$A$13:$A$24,ORÇAMENTO!E134)),OFFSET($D134,1,$C134,ROW($C$165)-ROW($C134)),0))</f>
        <v>0</v>
      </c>
      <c r="L134" s="116" t="str">
        <f ca="1">IF(OR($X134&gt;0,$C134=1,$C134=2,$C134=3,$C134=4),"F","")</f>
        <v>F</v>
      </c>
      <c r="M134" s="117" t="s">
        <v>199</v>
      </c>
      <c r="N134" s="118" t="str">
        <f ca="1">CHOOSE(1+LOG(1+2*(C134=1)+4*(C134=2)+8*(C134=3)+16*(C134=4)+32*(C134="S"),2),"","Meta","Nível 2","Nível 3","Nível 4","Serviço")</f>
        <v>Serviço</v>
      </c>
      <c r="O134" s="119" t="str">
        <f ca="1">IF(OR($C134=0,$L134=""),"-",CONCATENATE(E134&amp;".",IF(AND($A$5&gt;=2,$C134&gt;=2),F134&amp;".",""),IF(AND($A$5&gt;=3,$C134&gt;=3),G134&amp;".",""),IF(AND($A$5&gt;=4,$C134&gt;=4),H134&amp;".",""),IF($C134="S",I134&amp;".","")))</f>
        <v>8.2.7.</v>
      </c>
      <c r="P134" s="120" t="s">
        <v>449</v>
      </c>
      <c r="Q134" s="121" t="s">
        <v>522</v>
      </c>
      <c r="R134" s="122" t="str">
        <f ca="1">IF($C134="S",REFERENCIA.Descricao,"(digite a descrição aqui)")</f>
        <v>TOALHEIRO PLASTICO TIPO DISPENSER PARA PAPEL TOALHA INTERFOLHADO</v>
      </c>
      <c r="S134" s="123" t="str">
        <f ca="1">REFERENCIA.Unidade</f>
        <v>UN</v>
      </c>
      <c r="T134" s="124">
        <f ca="1">OFFSET(CÁLCULO!H$15,ROW($T134)-ROW(T$15),0)</f>
        <v>4</v>
      </c>
      <c r="U134" s="125">
        <f t="shared" ca="1" si="120"/>
        <v>61.42</v>
      </c>
      <c r="V134" s="126" t="s">
        <v>156</v>
      </c>
      <c r="W134" s="124">
        <f ca="1">IF($C134="S",ROUND(IF(TIPOORCAMENTO="Proposto",ORÇAMENTO.CustoUnitario*(1+$AH134),ORÇAMENTO.PrecoUnitarioLicitado),15-13*$AF$10),0)</f>
        <v>73.92</v>
      </c>
      <c r="X134" s="127">
        <f ca="1">IF($C134="S",IF(Import.TipoArredondamento&lt;&gt;"TransfereGOV",VTOTAL1,SUM(OFFSET(CÁLCULO!$AA$15,ROW($X134)-ROW($X$15),1):OFFSET(CÁLCULO!$AL$15,ROW($X134)-ROW($X$15),-1))),IF($C134=0,0,ROUND(SomaAgrup,15-13*$AF$11)))</f>
        <v>295.68</v>
      </c>
      <c r="Y134" s="128" t="s">
        <v>245</v>
      </c>
      <c r="Z134" t="str">
        <f ca="1">IF(AND($C134="S",$X134&gt;0),IF(ISBLANK($Y134),"RA",LEFT($Y134,2)),"")</f>
        <v>RA</v>
      </c>
      <c r="AA134" s="129">
        <f ca="1">IF($C134="S",IF($Z134="CP",$X134,IF($Z134="RA",(($X134)*QCI!$AA$3),0)),SomaAgrup)</f>
        <v>295.68</v>
      </c>
      <c r="AB134" s="130">
        <f ca="1">IF($C134="S",IF($Z134="OU",ROUND($X134,2),0),SomaAgrup)</f>
        <v>0</v>
      </c>
      <c r="AC134" s="131" t="str">
        <f ca="1">IF($N134="","",IF(ORÇAMENTO.Descricao="","DESCRIÇÃO",IF(AND($C134="S",ORÇAMENTO.Unidade=""),"UNIDADE",IF($X134&lt;0,"VALOR NEGATIVO",IF(OR(AND(TIPOORCAMENTO="Proposto",$AG134&lt;&gt;"",$AG134&gt;0,ORÇAMENTO.CustoUnitario&gt;$AG134),AND(TIPOORCAMENTO="LICITADO",ORÇAMENTO.PrecoUnitarioLicitado&gt;$AN134)),"ACIMA REF.","")))))</f>
        <v/>
      </c>
      <c r="AD134" t="str">
        <f ca="1">IF(C134&lt;=CRONO.NivelExibicao,MAX($AD$15:OFFSET(AD134,-1,0))+IF($C134&lt;&gt;1,1,MAX(1,COUNTIF(QCI!$A$13:$A$24,OFFSET($E134,-1,0)))),"")</f>
        <v/>
      </c>
      <c r="AE134" s="7" t="str">
        <f ca="1">IF(AND($C134="S",ORÇAMENTO.CodBarra&lt;&gt;""),IF(ORÇAMENTO.Fonte="",ORÇAMENTO.CodBarra,CONCATENATE(ORÇAMENTO.Fonte," ",ORÇAMENTO.CodBarra)))</f>
        <v>SINAPI-I 37401</v>
      </c>
      <c r="AF134" s="13">
        <f ca="1">IF(ISERROR(INDIRECT(ORÇAMENTO.BancoRef)),"(abra o arquivo 'Referência "&amp;Excel_BuiltIn_Database&amp;".xlsm)",IF(OR($C134&lt;&gt;"S",ORÇAMENTO.CodBarra=""),"(Sem Código)",IF(ISERROR(MATCH($AE134,INDIRECT(ORÇAMENTO.BancoRef),0)),"(Código não identificado nas referências)",MATCH($AE134,INDIRECT(ORÇAMENTO.BancoRef),0))))</f>
        <v>4339</v>
      </c>
      <c r="AG134" s="498">
        <f ca="1">ROUND(IF(DESONERACAO="sim",REFERENCIA.Desonerado,REFERENCIA.NaoDesonerado),2)</f>
        <v>61.42</v>
      </c>
      <c r="AH134" s="499">
        <f ca="1">ROUND(IF(ISNUMBER(ORÇAMENTO.OpcaoBDI),ORÇAMENTO.OpcaoBDI,IF(LEFT(ORÇAMENTO.OpcaoBDI,3)="BDI",HLOOKUP(ORÇAMENTO.OpcaoBDI,$F$4:$H$5,2,FALSE),0)),15-11*$AF$9)</f>
        <v>0.20349999999999999</v>
      </c>
      <c r="AJ134" s="501">
        <v>4</v>
      </c>
      <c r="AL134" s="527"/>
      <c r="AM134" s="381">
        <f t="shared" ca="1" si="124"/>
        <v>295.68</v>
      </c>
      <c r="AN134" s="566">
        <f ca="1">ROUND(ORÇAMENTO.CustoUnitario*(1+$AH134),2)</f>
        <v>73.92</v>
      </c>
    </row>
    <row r="135" spans="1:40" ht="25.5" x14ac:dyDescent="0.2">
      <c r="A135" t="str">
        <f t="shared" si="126"/>
        <v>S</v>
      </c>
      <c r="B135">
        <f t="shared" ca="1" si="130"/>
        <v>2</v>
      </c>
      <c r="C135" t="str">
        <f t="shared" ca="1" si="131"/>
        <v>S</v>
      </c>
      <c r="D135">
        <f t="shared" ca="1" si="132"/>
        <v>0</v>
      </c>
      <c r="E135">
        <f ca="1">IF($C135=1,OFFSET(E135,-1,0)+MAX(1,COUNTIF(QCI!$A$13:$A$24,OFFSET(ORÇAMENTO!E135,-1,0))),OFFSET(E135,-1,0))</f>
        <v>8</v>
      </c>
      <c r="F135">
        <f t="shared" ca="1" si="133"/>
        <v>2</v>
      </c>
      <c r="G135">
        <f t="shared" ca="1" si="134"/>
        <v>0</v>
      </c>
      <c r="H135">
        <f t="shared" ca="1" si="135"/>
        <v>0</v>
      </c>
      <c r="I135">
        <f t="shared" ca="1" si="136"/>
        <v>8</v>
      </c>
      <c r="J135">
        <f ca="1">IF(OR($C135="S",$C135=0),0,MATCH(0,OFFSET($D135,1,$C135,ROW($C$165)-ROW($C135)),0))</f>
        <v>0</v>
      </c>
      <c r="K135">
        <f ca="1">IF(OR($C135="S",$C135=0),0,MATCH(OFFSET($D135,0,$C135)+IF($C135&lt;&gt;1,1,COUNTIF(QCI!$A$13:$A$24,ORÇAMENTO!E135)),OFFSET($D135,1,$C135,ROW($C$165)-ROW($C135)),0))</f>
        <v>0</v>
      </c>
      <c r="L135" s="116" t="str">
        <f t="shared" ca="1" si="137"/>
        <v>F</v>
      </c>
      <c r="M135" s="117" t="s">
        <v>199</v>
      </c>
      <c r="N135" s="118" t="str">
        <f t="shared" ca="1" si="138"/>
        <v>Serviço</v>
      </c>
      <c r="O135" s="119" t="str">
        <f t="shared" ca="1" si="139"/>
        <v>8.2.8.</v>
      </c>
      <c r="P135" s="120" t="s">
        <v>247</v>
      </c>
      <c r="Q135" s="121" t="s">
        <v>514</v>
      </c>
      <c r="R135" s="122" t="str">
        <f ca="1">IF($C135="S",REFERENCIA.Descricao,"(digite a descrição aqui)")</f>
        <v>BARRA DE APOIO RETA, EM ALUMÍNIO, COMPRIMENTO 70 CM, FIXADA NA PAREDE - FORNECIMENTO E INSTALAÇÃO. AF_02/2026</v>
      </c>
      <c r="S135" s="123" t="str">
        <f ca="1">REFERENCIA.Unidade</f>
        <v>UN</v>
      </c>
      <c r="T135" s="124">
        <f ca="1">OFFSET(CÁLCULO!H$15,ROW($T135)-ROW(T$15),0)</f>
        <v>6</v>
      </c>
      <c r="U135" s="125">
        <f t="shared" ca="1" si="120"/>
        <v>313.64</v>
      </c>
      <c r="V135" s="126" t="s">
        <v>156</v>
      </c>
      <c r="W135" s="124">
        <f ca="1">IF($C135="S",ROUND(IF(TIPOORCAMENTO="Proposto",ORÇAMENTO.CustoUnitario*(1+$AH135),ORÇAMENTO.PrecoUnitarioLicitado),15-13*$AF$10),0)</f>
        <v>377.47</v>
      </c>
      <c r="X135" s="127">
        <f ca="1">IF($C135="S",IF(Import.TipoArredondamento&lt;&gt;"TransfereGOV",VTOTAL1,SUM(OFFSET(CÁLCULO!$AA$15,ROW($X135)-ROW($X$15),1):OFFSET(CÁLCULO!$AL$15,ROW($X135)-ROW($X$15),-1))),IF($C135=0,0,ROUND(SomaAgrup,15-13*$AF$11)))</f>
        <v>2264.8200000000002</v>
      </c>
      <c r="Y135" s="128" t="s">
        <v>245</v>
      </c>
      <c r="Z135" t="str">
        <f t="shared" ca="1" si="140"/>
        <v>RA</v>
      </c>
      <c r="AA135" s="129">
        <f ca="1">IF($C135="S",IF($Z135="CP",$X135,IF($Z135="RA",(($X135)*QCI!$AA$3),0)),SomaAgrup)</f>
        <v>2264.8200000000002</v>
      </c>
      <c r="AB135" s="130">
        <f t="shared" ca="1" si="127"/>
        <v>0</v>
      </c>
      <c r="AC135" s="131" t="str">
        <f ca="1">IF($N135="","",IF(ORÇAMENTO.Descricao="","DESCRIÇÃO",IF(AND($C135="S",ORÇAMENTO.Unidade=""),"UNIDADE",IF($X135&lt;0,"VALOR NEGATIVO",IF(OR(AND(TIPOORCAMENTO="Proposto",$AG135&lt;&gt;"",$AG135&gt;0,ORÇAMENTO.CustoUnitario&gt;$AG135),AND(TIPOORCAMENTO="LICITADO",ORÇAMENTO.PrecoUnitarioLicitado&gt;$AN135)),"ACIMA REF.","")))))</f>
        <v/>
      </c>
      <c r="AD135" t="str">
        <f ca="1">IF(C135&lt;=CRONO.NivelExibicao,MAX($AD$15:OFFSET(AD135,-1,0))+IF($C135&lt;&gt;1,1,MAX(1,COUNTIF(QCI!$A$13:$A$24,OFFSET($E135,-1,0)))),"")</f>
        <v/>
      </c>
      <c r="AE135" s="7" t="str">
        <f ca="1">IF(AND($C135="S",ORÇAMENTO.CodBarra&lt;&gt;""),IF(ORÇAMENTO.Fonte="",ORÇAMENTO.CodBarra,CONCATENATE(ORÇAMENTO.Fonte," ",ORÇAMENTO.CodBarra)))</f>
        <v>SINAPI 100871</v>
      </c>
      <c r="AF135" s="13">
        <f ca="1">IF(ISERROR(INDIRECT(ORÇAMENTO.BancoRef)),"(abra o arquivo 'Referência "&amp;Excel_BuiltIn_Database&amp;".xlsm)",IF(OR($C135&lt;&gt;"S",ORÇAMENTO.CodBarra=""),"(Sem Código)",IF(ISERROR(MATCH($AE135,INDIRECT(ORÇAMENTO.BancoRef),0)),"(Código não identificado nas referências)",MATCH($AE135,INDIRECT(ORÇAMENTO.BancoRef),0))))</f>
        <v>13742</v>
      </c>
      <c r="AG135" s="498">
        <f ca="1">ROUND(IF(DESONERACAO="sim",REFERENCIA.Desonerado,REFERENCIA.NaoDesonerado),2)</f>
        <v>313.64</v>
      </c>
      <c r="AH135" s="499">
        <f t="shared" ca="1" si="128"/>
        <v>0.20349999999999999</v>
      </c>
      <c r="AJ135" s="501">
        <v>6</v>
      </c>
      <c r="AL135" s="527"/>
      <c r="AM135" s="381">
        <f t="shared" ca="1" si="124"/>
        <v>2264.8200000000002</v>
      </c>
      <c r="AN135" s="566">
        <f t="shared" ca="1" si="129"/>
        <v>377.47</v>
      </c>
    </row>
    <row r="136" spans="1:40" ht="25.5" x14ac:dyDescent="0.2">
      <c r="A136" t="str">
        <f t="shared" si="126"/>
        <v>S</v>
      </c>
      <c r="B136">
        <f t="shared" ca="1" si="130"/>
        <v>2</v>
      </c>
      <c r="C136" t="str">
        <f t="shared" ca="1" si="131"/>
        <v>S</v>
      </c>
      <c r="D136">
        <f t="shared" ca="1" si="132"/>
        <v>0</v>
      </c>
      <c r="E136">
        <f ca="1">IF($C136=1,OFFSET(E136,-1,0)+MAX(1,COUNTIF(QCI!$A$13:$A$24,OFFSET(ORÇAMENTO!E136,-1,0))),OFFSET(E136,-1,0))</f>
        <v>8</v>
      </c>
      <c r="F136">
        <f t="shared" ca="1" si="133"/>
        <v>2</v>
      </c>
      <c r="G136">
        <f t="shared" ca="1" si="134"/>
        <v>0</v>
      </c>
      <c r="H136">
        <f t="shared" ca="1" si="135"/>
        <v>0</v>
      </c>
      <c r="I136">
        <f t="shared" ca="1" si="136"/>
        <v>9</v>
      </c>
      <c r="J136">
        <f ca="1">IF(OR($C136="S",$C136=0),0,MATCH(0,OFFSET($D136,1,$C136,ROW($C$165)-ROW($C136)),0))</f>
        <v>0</v>
      </c>
      <c r="K136">
        <f ca="1">IF(OR($C136="S",$C136=0),0,MATCH(OFFSET($D136,0,$C136)+IF($C136&lt;&gt;1,1,COUNTIF(QCI!$A$13:$A$24,ORÇAMENTO!E136)),OFFSET($D136,1,$C136,ROW($C$165)-ROW($C136)),0))</f>
        <v>0</v>
      </c>
      <c r="L136" s="116" t="str">
        <f t="shared" ca="1" si="137"/>
        <v>F</v>
      </c>
      <c r="M136" s="117" t="s">
        <v>199</v>
      </c>
      <c r="N136" s="118" t="str">
        <f t="shared" ca="1" si="138"/>
        <v>Serviço</v>
      </c>
      <c r="O136" s="119" t="str">
        <f t="shared" ca="1" si="139"/>
        <v>8.2.9.</v>
      </c>
      <c r="P136" s="120" t="s">
        <v>247</v>
      </c>
      <c r="Q136" s="121" t="s">
        <v>515</v>
      </c>
      <c r="R136" s="122" t="str">
        <f ca="1">IF($C136="S",REFERENCIA.Descricao,"(digite a descrição aqui)")</f>
        <v>BARRA DE APOIO RETA, EM ALUMÍNIO, COMPRIMENTO 80 CM, FIXADA NA PAREDE - FORNECIMENTO E INSTALAÇÃO. AF_02/2026</v>
      </c>
      <c r="S136" s="123" t="str">
        <f ca="1">REFERENCIA.Unidade</f>
        <v>UN</v>
      </c>
      <c r="T136" s="124">
        <f ca="1">OFFSET(CÁLCULO!H$15,ROW($T136)-ROW(T$15),0)</f>
        <v>4</v>
      </c>
      <c r="U136" s="125">
        <f t="shared" ca="1" si="120"/>
        <v>324.83</v>
      </c>
      <c r="V136" s="126" t="s">
        <v>156</v>
      </c>
      <c r="W136" s="124">
        <f ca="1">IF($C136="S",ROUND(IF(TIPOORCAMENTO="Proposto",ORÇAMENTO.CustoUnitario*(1+$AH136),ORÇAMENTO.PrecoUnitarioLicitado),15-13*$AF$10),0)</f>
        <v>390.93</v>
      </c>
      <c r="X136" s="127">
        <f ca="1">IF($C136="S",IF(Import.TipoArredondamento&lt;&gt;"TransfereGOV",VTOTAL1,SUM(OFFSET(CÁLCULO!$AA$15,ROW($X136)-ROW($X$15),1):OFFSET(CÁLCULO!$AL$15,ROW($X136)-ROW($X$15),-1))),IF($C136=0,0,ROUND(SomaAgrup,15-13*$AF$11)))</f>
        <v>1563.72</v>
      </c>
      <c r="Y136" s="128" t="s">
        <v>245</v>
      </c>
      <c r="Z136" t="str">
        <f t="shared" ca="1" si="140"/>
        <v>RA</v>
      </c>
      <c r="AA136" s="129">
        <f ca="1">IF($C136="S",IF($Z136="CP",$X136,IF($Z136="RA",(($X136)*QCI!$AA$3),0)),SomaAgrup)</f>
        <v>1563.72</v>
      </c>
      <c r="AB136" s="130">
        <f t="shared" ca="1" si="127"/>
        <v>0</v>
      </c>
      <c r="AC136" s="131" t="str">
        <f ca="1">IF($N136="","",IF(ORÇAMENTO.Descricao="","DESCRIÇÃO",IF(AND($C136="S",ORÇAMENTO.Unidade=""),"UNIDADE",IF($X136&lt;0,"VALOR NEGATIVO",IF(OR(AND(TIPOORCAMENTO="Proposto",$AG136&lt;&gt;"",$AG136&gt;0,ORÇAMENTO.CustoUnitario&gt;$AG136),AND(TIPOORCAMENTO="LICITADO",ORÇAMENTO.PrecoUnitarioLicitado&gt;$AN136)),"ACIMA REF.","")))))</f>
        <v/>
      </c>
      <c r="AD136" t="str">
        <f ca="1">IF(C136&lt;=CRONO.NivelExibicao,MAX($AD$15:OFFSET(AD136,-1,0))+IF($C136&lt;&gt;1,1,MAX(1,COUNTIF(QCI!$A$13:$A$24,OFFSET($E136,-1,0)))),"")</f>
        <v/>
      </c>
      <c r="AE136" s="7" t="str">
        <f ca="1">IF(AND($C136="S",ORÇAMENTO.CodBarra&lt;&gt;""),IF(ORÇAMENTO.Fonte="",ORÇAMENTO.CodBarra,CONCATENATE(ORÇAMENTO.Fonte," ",ORÇAMENTO.CodBarra)))</f>
        <v>SINAPI 100872</v>
      </c>
      <c r="AF136" s="13">
        <f ca="1">IF(ISERROR(INDIRECT(ORÇAMENTO.BancoRef)),"(abra o arquivo 'Referência "&amp;Excel_BuiltIn_Database&amp;".xlsm)",IF(OR($C136&lt;&gt;"S",ORÇAMENTO.CodBarra=""),"(Sem Código)",IF(ISERROR(MATCH($AE136,INDIRECT(ORÇAMENTO.BancoRef),0)),"(Código não identificado nas referências)",MATCH($AE136,INDIRECT(ORÇAMENTO.BancoRef),0))))</f>
        <v>13743</v>
      </c>
      <c r="AG136" s="498">
        <f ca="1">ROUND(IF(DESONERACAO="sim",REFERENCIA.Desonerado,REFERENCIA.NaoDesonerado),2)</f>
        <v>324.83</v>
      </c>
      <c r="AH136" s="499">
        <f t="shared" ca="1" si="128"/>
        <v>0.20349999999999999</v>
      </c>
      <c r="AJ136" s="501">
        <v>4</v>
      </c>
      <c r="AL136" s="527"/>
      <c r="AM136" s="381">
        <f t="shared" ca="1" si="124"/>
        <v>1563.72</v>
      </c>
      <c r="AN136" s="566">
        <f t="shared" ca="1" si="129"/>
        <v>390.93</v>
      </c>
    </row>
    <row r="137" spans="1:40" ht="25.5" x14ac:dyDescent="0.2">
      <c r="A137" t="str">
        <f t="shared" si="126"/>
        <v>S</v>
      </c>
      <c r="B137">
        <f t="shared" ca="1" si="130"/>
        <v>2</v>
      </c>
      <c r="C137" t="str">
        <f t="shared" ca="1" si="131"/>
        <v>S</v>
      </c>
      <c r="D137">
        <f t="shared" ca="1" si="132"/>
        <v>0</v>
      </c>
      <c r="E137">
        <f ca="1">IF($C137=1,OFFSET(E137,-1,0)+MAX(1,COUNTIF(QCI!$A$13:$A$24,OFFSET(ORÇAMENTO!E137,-1,0))),OFFSET(E137,-1,0))</f>
        <v>8</v>
      </c>
      <c r="F137">
        <f t="shared" ca="1" si="133"/>
        <v>2</v>
      </c>
      <c r="G137">
        <f t="shared" ca="1" si="134"/>
        <v>0</v>
      </c>
      <c r="H137">
        <f t="shared" ca="1" si="135"/>
        <v>0</v>
      </c>
      <c r="I137">
        <f t="shared" ca="1" si="136"/>
        <v>10</v>
      </c>
      <c r="J137">
        <f ca="1">IF(OR($C137="S",$C137=0),0,MATCH(0,OFFSET($D137,1,$C137,ROW($C$165)-ROW($C137)),0))</f>
        <v>0</v>
      </c>
      <c r="K137">
        <f ca="1">IF(OR($C137="S",$C137=0),0,MATCH(OFFSET($D137,0,$C137)+IF($C137&lt;&gt;1,1,COUNTIF(QCI!$A$13:$A$24,ORÇAMENTO!E137)),OFFSET($D137,1,$C137,ROW($C$165)-ROW($C137)),0))</f>
        <v>0</v>
      </c>
      <c r="L137" s="116" t="str">
        <f t="shared" ca="1" si="137"/>
        <v>F</v>
      </c>
      <c r="M137" s="117" t="s">
        <v>199</v>
      </c>
      <c r="N137" s="118" t="str">
        <f t="shared" ca="1" si="138"/>
        <v>Serviço</v>
      </c>
      <c r="O137" s="119" t="str">
        <f t="shared" ca="1" si="139"/>
        <v>8.2.10.</v>
      </c>
      <c r="P137" s="120" t="s">
        <v>247</v>
      </c>
      <c r="Q137" s="121" t="s">
        <v>516</v>
      </c>
      <c r="R137" s="122" t="s">
        <v>590</v>
      </c>
      <c r="S137" s="123" t="str">
        <f ca="1">REFERENCIA.Unidade</f>
        <v>UN</v>
      </c>
      <c r="T137" s="124">
        <f ca="1">OFFSET(CÁLCULO!H$15,ROW($T137)-ROW(T$15),0)</f>
        <v>14</v>
      </c>
      <c r="U137" s="125">
        <f t="shared" ca="1" si="120"/>
        <v>296.12</v>
      </c>
      <c r="V137" s="126" t="s">
        <v>156</v>
      </c>
      <c r="W137" s="124">
        <f ca="1">IF($C137="S",ROUND(IF(TIPOORCAMENTO="Proposto",ORÇAMENTO.CustoUnitario*(1+$AH137),ORÇAMENTO.PrecoUnitarioLicitado),15-13*$AF$10),0)</f>
        <v>356.38</v>
      </c>
      <c r="X137" s="127">
        <f ca="1">IF($C137="S",IF(Import.TipoArredondamento&lt;&gt;"TransfereGOV",VTOTAL1,SUM(OFFSET(CÁLCULO!$AA$15,ROW($X137)-ROW($X$15),1):OFFSET(CÁLCULO!$AL$15,ROW($X137)-ROW($X$15),-1))),IF($C137=0,0,ROUND(SomaAgrup,15-13*$AF$11)))</f>
        <v>4989.32</v>
      </c>
      <c r="Y137" s="128" t="s">
        <v>245</v>
      </c>
      <c r="Z137" t="str">
        <f t="shared" ca="1" si="140"/>
        <v>RA</v>
      </c>
      <c r="AA137" s="129">
        <f ca="1">IF($C137="S",IF($Z137="CP",$X137,IF($Z137="RA",(($X137)*QCI!$AA$3),0)),SomaAgrup)</f>
        <v>4989.32</v>
      </c>
      <c r="AB137" s="130">
        <f t="shared" ca="1" si="127"/>
        <v>0</v>
      </c>
      <c r="AC137" s="131" t="str">
        <f ca="1">IF($N137="","",IF(ORÇAMENTO.Descricao="","DESCRIÇÃO",IF(AND($C137="S",ORÇAMENTO.Unidade=""),"UNIDADE",IF($X137&lt;0,"VALOR NEGATIVO",IF(OR(AND(TIPOORCAMENTO="Proposto",$AG137&lt;&gt;"",$AG137&gt;0,ORÇAMENTO.CustoUnitario&gt;$AG137),AND(TIPOORCAMENTO="LICITADO",ORÇAMENTO.PrecoUnitarioLicitado&gt;$AN137)),"ACIMA REF.","")))))</f>
        <v/>
      </c>
      <c r="AD137" t="str">
        <f ca="1">IF(C137&lt;=CRONO.NivelExibicao,MAX($AD$15:OFFSET(AD137,-1,0))+IF($C137&lt;&gt;1,1,MAX(1,COUNTIF(QCI!$A$13:$A$24,OFFSET($E137,-1,0)))),"")</f>
        <v/>
      </c>
      <c r="AE137" s="7" t="str">
        <f ca="1">IF(AND($C137="S",ORÇAMENTO.CodBarra&lt;&gt;""),IF(ORÇAMENTO.Fonte="",ORÇAMENTO.CodBarra,CONCATENATE(ORÇAMENTO.Fonte," ",ORÇAMENTO.CodBarra)))</f>
        <v>SINAPI 100870</v>
      </c>
      <c r="AF137" s="13">
        <f ca="1">IF(ISERROR(INDIRECT(ORÇAMENTO.BancoRef)),"(abra o arquivo 'Referência "&amp;Excel_BuiltIn_Database&amp;".xlsm)",IF(OR($C137&lt;&gt;"S",ORÇAMENTO.CodBarra=""),"(Sem Código)",IF(ISERROR(MATCH($AE137,INDIRECT(ORÇAMENTO.BancoRef),0)),"(Código não identificado nas referências)",MATCH($AE137,INDIRECT(ORÇAMENTO.BancoRef),0))))</f>
        <v>13741</v>
      </c>
      <c r="AG137" s="498">
        <f ca="1">ROUND(IF(DESONERACAO="sim",REFERENCIA.Desonerado,REFERENCIA.NaoDesonerado),2)</f>
        <v>296.12</v>
      </c>
      <c r="AH137" s="499">
        <f t="shared" ca="1" si="128"/>
        <v>0.20349999999999999</v>
      </c>
      <c r="AJ137" s="501">
        <v>14</v>
      </c>
      <c r="AL137" s="527"/>
      <c r="AM137" s="381">
        <f t="shared" ca="1" si="124"/>
        <v>4989.32</v>
      </c>
      <c r="AN137" s="566">
        <f t="shared" ca="1" si="129"/>
        <v>356.38</v>
      </c>
    </row>
    <row r="138" spans="1:40" x14ac:dyDescent="0.2">
      <c r="A138" t="str">
        <f t="shared" ref="A138:A143" si="141">CHOOSE(1+LOG(1+2*(ORÇAMENTO.Nivel="Meta")+4*(ORÇAMENTO.Nivel="Nível 2")+8*(ORÇAMENTO.Nivel="Nível 3")+16*(ORÇAMENTO.Nivel="Nível 4")+32*(ORÇAMENTO.Nivel="Serviço"),2),0,1,2,3,4,"S")</f>
        <v>S</v>
      </c>
      <c r="B138">
        <f t="shared" ref="B138:B142" ca="1" si="142">IF(OR(C138="s",C138=0),OFFSET(B138,-1,0),C138)</f>
        <v>2</v>
      </c>
      <c r="C138" t="str">
        <f t="shared" ref="C138:C142" ca="1" si="143">IF(OFFSET(C138,-1,0)="L",1,IF(OFFSET(C138,-1,0)=1,2,IF(OR(A138="s",A138=0),"S",IF(AND(OFFSET(C138,-1,0)=2,A138=4),3,IF(AND(OR(OFFSET(C138,-1,0)="s",OFFSET(C138,-1,0)=0),A138&lt;&gt;"s",A138&gt;OFFSET(B138,-1,0)),OFFSET(B138,-1,0),A138)))))</f>
        <v>S</v>
      </c>
      <c r="D138">
        <f t="shared" ref="D138:D142" ca="1" si="144">IF(OR(C138="S",C138=0),0,IF(ISERROR(K138),J138,SMALL(J138:K138,1)))</f>
        <v>0</v>
      </c>
      <c r="E138">
        <f ca="1">IF($C138=1,OFFSET(E138,-1,0)+MAX(1,COUNTIF(QCI!$A$13:$A$24,OFFSET(ORÇAMENTO!E138,-1,0))),OFFSET(E138,-1,0))</f>
        <v>8</v>
      </c>
      <c r="F138">
        <f t="shared" ref="F138:F142" ca="1" si="145">IF($C138=1,0,IF($C138=2,OFFSET(F138,-1,0)+1,OFFSET(F138,-1,0)))</f>
        <v>2</v>
      </c>
      <c r="G138">
        <f t="shared" ref="G138:G142" ca="1" si="146">IF(AND($C138&lt;=2,$C138&lt;&gt;0),0,IF($C138=3,OFFSET(G138,-1,0)+1,OFFSET(G138,-1,0)))</f>
        <v>0</v>
      </c>
      <c r="H138">
        <f t="shared" ref="H138:H142" ca="1" si="147">IF(AND($C138&lt;=3,$C138&lt;&gt;0),0,IF($C138=4,OFFSET(H138,-1,0)+1,OFFSET(H138,-1,0)))</f>
        <v>0</v>
      </c>
      <c r="I138">
        <f t="shared" ref="I138:I142" ca="1" si="148">IF(AND($C138&lt;=4,$C138&lt;&gt;0),0,IF(AND($C138="S",$X138&gt;0),OFFSET(I138,-1,0)+1,OFFSET(I138,-1,0)))</f>
        <v>11</v>
      </c>
      <c r="J138">
        <f ca="1">IF(OR($C138="S",$C138=0),0,MATCH(0,OFFSET($D138,1,$C138,ROW($C$165)-ROW($C138)),0))</f>
        <v>0</v>
      </c>
      <c r="K138">
        <f ca="1">IF(OR($C138="S",$C138=0),0,MATCH(OFFSET($D138,0,$C138)+IF($C138&lt;&gt;1,1,COUNTIF(QCI!$A$13:$A$24,ORÇAMENTO!E138)),OFFSET($D138,1,$C138,ROW($C$165)-ROW($C138)),0))</f>
        <v>0</v>
      </c>
      <c r="L138" s="116" t="str">
        <f t="shared" ref="L138:L142" ca="1" si="149">IF(OR($X138&gt;0,$C138=1,$C138=2,$C138=3,$C138=4),"F","")</f>
        <v>F</v>
      </c>
      <c r="M138" s="117" t="s">
        <v>199</v>
      </c>
      <c r="N138" s="118" t="str">
        <f t="shared" ref="N138:N142" ca="1" si="150">CHOOSE(1+LOG(1+2*(C138=1)+4*(C138=2)+8*(C138=3)+16*(C138=4)+32*(C138="S"),2),"","Meta","Nível 2","Nível 3","Nível 4","Serviço")</f>
        <v>Serviço</v>
      </c>
      <c r="O138" s="119" t="str">
        <f t="shared" ref="O138:O142" ca="1" si="151">IF(OR($C138=0,$L138=""),"-",CONCATENATE(E138&amp;".",IF(AND($A$5&gt;=2,$C138&gt;=2),F138&amp;".",""),IF(AND($A$5&gt;=3,$C138&gt;=3),G138&amp;".",""),IF(AND($A$5&gt;=4,$C138&gt;=4),H138&amp;".",""),IF($C138="S",I138&amp;".","")))</f>
        <v>8.2.11.</v>
      </c>
      <c r="P138" s="120" t="s">
        <v>449</v>
      </c>
      <c r="Q138" s="121" t="s">
        <v>524</v>
      </c>
      <c r="R138" s="122" t="str">
        <f ca="1">IF($C138="S",REFERENCIA.Descricao,"(digite a descrição aqui)")</f>
        <v>ESPELHO CRISTAL E = 4 MM</v>
      </c>
      <c r="S138" s="123" t="str">
        <f ca="1">REFERENCIA.Unidade</f>
        <v>M2</v>
      </c>
      <c r="T138" s="124">
        <f ca="1">OFFSET(CÁLCULO!H$15,ROW($T138)-ROW(T$15),0)</f>
        <v>1</v>
      </c>
      <c r="U138" s="125">
        <f t="shared" ca="1" si="120"/>
        <v>372.66</v>
      </c>
      <c r="V138" s="126" t="s">
        <v>156</v>
      </c>
      <c r="W138" s="124">
        <f ca="1">IF($C138="S",ROUND(IF(TIPOORCAMENTO="Proposto",ORÇAMENTO.CustoUnitario*(1+$AH138),ORÇAMENTO.PrecoUnitarioLicitado),15-13*$AF$10),0)</f>
        <v>448.5</v>
      </c>
      <c r="X138" s="127">
        <f ca="1">IF($C138="S",IF(Import.TipoArredondamento&lt;&gt;"TransfereGOV",VTOTAL1,SUM(OFFSET(CÁLCULO!$AA$15,ROW($X138)-ROW($X$15),1):OFFSET(CÁLCULO!$AL$15,ROW($X138)-ROW($X$15),-1))),IF($C138=0,0,ROUND(SomaAgrup,15-13*$AF$11)))</f>
        <v>448.5</v>
      </c>
      <c r="Y138" s="128" t="s">
        <v>245</v>
      </c>
      <c r="Z138" t="str">
        <f t="shared" ref="Z138:Z142" ca="1" si="152">IF(AND($C138="S",$X138&gt;0),IF(ISBLANK($Y138),"RA",LEFT($Y138,2)),"")</f>
        <v>RA</v>
      </c>
      <c r="AA138" s="129">
        <f ca="1">IF($C138="S",IF($Z138="CP",$X138,IF($Z138="RA",(($X138)*QCI!$AA$3),0)),SomaAgrup)</f>
        <v>448.5</v>
      </c>
      <c r="AB138" s="130">
        <f t="shared" ref="AB138:AB143" ca="1" si="153">IF($C138="S",IF($Z138="OU",ROUND($X138,2),0),SomaAgrup)</f>
        <v>0</v>
      </c>
      <c r="AC138" s="131" t="str">
        <f ca="1">IF($N138="","",IF(ORÇAMENTO.Descricao="","DESCRIÇÃO",IF(AND($C138="S",ORÇAMENTO.Unidade=""),"UNIDADE",IF($X138&lt;0,"VALOR NEGATIVO",IF(OR(AND(TIPOORCAMENTO="Proposto",$AG138&lt;&gt;"",$AG138&gt;0,ORÇAMENTO.CustoUnitario&gt;$AG138),AND(TIPOORCAMENTO="LICITADO",ORÇAMENTO.PrecoUnitarioLicitado&gt;$AN138)),"ACIMA REF.","")))))</f>
        <v/>
      </c>
      <c r="AD138" t="str">
        <f ca="1">IF(C138&lt;=CRONO.NivelExibicao,MAX($AD$15:OFFSET(AD138,-1,0))+IF($C138&lt;&gt;1,1,MAX(1,COUNTIF(QCI!$A$13:$A$24,OFFSET($E138,-1,0)))),"")</f>
        <v/>
      </c>
      <c r="AE138" s="7" t="str">
        <f ca="1">IF(AND($C138="S",ORÇAMENTO.CodBarra&lt;&gt;""),IF(ORÇAMENTO.Fonte="",ORÇAMENTO.CodBarra,CONCATENATE(ORÇAMENTO.Fonte," ",ORÇAMENTO.CodBarra)))</f>
        <v>SINAPI-I 11186</v>
      </c>
      <c r="AF138" s="13">
        <f ca="1">IF(ISERROR(INDIRECT(ORÇAMENTO.BancoRef)),"(abra o arquivo 'Referência "&amp;Excel_BuiltIn_Database&amp;".xlsm)",IF(OR($C138&lt;&gt;"S",ORÇAMENTO.CodBarra=""),"(Sem Código)",IF(ISERROR(MATCH($AE138,INDIRECT(ORÇAMENTO.BancoRef),0)),"(Código não identificado nas referências)",MATCH($AE138,INDIRECT(ORÇAMENTO.BancoRef),0))))</f>
        <v>1994</v>
      </c>
      <c r="AG138" s="498">
        <f ca="1">ROUND(IF(DESONERACAO="sim",REFERENCIA.Desonerado,REFERENCIA.NaoDesonerado),2)</f>
        <v>372.66</v>
      </c>
      <c r="AH138" s="499">
        <f t="shared" ref="AH138:AH143" ca="1" si="154">ROUND(IF(ISNUMBER(ORÇAMENTO.OpcaoBDI),ORÇAMENTO.OpcaoBDI,IF(LEFT(ORÇAMENTO.OpcaoBDI,3)="BDI",HLOOKUP(ORÇAMENTO.OpcaoBDI,$F$4:$H$5,2,FALSE),0)),15-11*$AF$9)</f>
        <v>0.20349999999999999</v>
      </c>
      <c r="AJ138" s="501">
        <v>1</v>
      </c>
      <c r="AL138" s="527"/>
      <c r="AM138" s="381">
        <f t="shared" ca="1" si="124"/>
        <v>448.5</v>
      </c>
      <c r="AN138" s="566">
        <f t="shared" ref="AN138:AN143" ca="1" si="155">ROUND(ORÇAMENTO.CustoUnitario*(1+$AH138),2)</f>
        <v>448.5</v>
      </c>
    </row>
    <row r="139" spans="1:40" ht="25.5" x14ac:dyDescent="0.2">
      <c r="A139" t="str">
        <f>CHOOSE(1+LOG(1+2*(ORÇAMENTO.Nivel="Meta")+4*(ORÇAMENTO.Nivel="Nível 2")+8*(ORÇAMENTO.Nivel="Nível 3")+16*(ORÇAMENTO.Nivel="Nível 4")+32*(ORÇAMENTO.Nivel="Serviço"),2),0,1,2,3,4,"S")</f>
        <v>S</v>
      </c>
      <c r="B139">
        <f ca="1">IF(OR(C139="s",C139=0),OFFSET(B139,-1,0),C139)</f>
        <v>2</v>
      </c>
      <c r="C139" t="str">
        <f ca="1">IF(OFFSET(C139,-1,0)="L",1,IF(OFFSET(C139,-1,0)=1,2,IF(OR(A139="s",A139=0),"S",IF(AND(OFFSET(C139,-1,0)=2,A139=4),3,IF(AND(OR(OFFSET(C139,-1,0)="s",OFFSET(C139,-1,0)=0),A139&lt;&gt;"s",A139&gt;OFFSET(B139,-1,0)),OFFSET(B139,-1,0),A139)))))</f>
        <v>S</v>
      </c>
      <c r="D139">
        <f ca="1">IF(OR(C139="S",C139=0),0,IF(ISERROR(K139),J139,SMALL(J139:K139,1)))</f>
        <v>0</v>
      </c>
      <c r="E139">
        <f ca="1">IF($C139=1,OFFSET(E139,-1,0)+MAX(1,COUNTIF(QCI!$A$13:$A$24,OFFSET(ORÇAMENTO!E139,-1,0))),OFFSET(E139,-1,0))</f>
        <v>8</v>
      </c>
      <c r="F139">
        <f ca="1">IF($C139=1,0,IF($C139=2,OFFSET(F139,-1,0)+1,OFFSET(F139,-1,0)))</f>
        <v>2</v>
      </c>
      <c r="G139">
        <f ca="1">IF(AND($C139&lt;=2,$C139&lt;&gt;0),0,IF($C139=3,OFFSET(G139,-1,0)+1,OFFSET(G139,-1,0)))</f>
        <v>0</v>
      </c>
      <c r="H139">
        <f ca="1">IF(AND($C139&lt;=3,$C139&lt;&gt;0),0,IF($C139=4,OFFSET(H139,-1,0)+1,OFFSET(H139,-1,0)))</f>
        <v>0</v>
      </c>
      <c r="I139">
        <f ca="1">IF(AND($C139&lt;=4,$C139&lt;&gt;0),0,IF(AND($C139="S",$X139&gt;0),OFFSET(I139,-1,0)+1,OFFSET(I139,-1,0)))</f>
        <v>12</v>
      </c>
      <c r="J139">
        <f ca="1">IF(OR($C139="S",$C139=0),0,MATCH(0,OFFSET($D139,1,$C139,ROW($C$165)-ROW($C139)),0))</f>
        <v>0</v>
      </c>
      <c r="K139">
        <f ca="1">IF(OR($C139="S",$C139=0),0,MATCH(OFFSET($D139,0,$C139)+IF($C139&lt;&gt;1,1,COUNTIF(QCI!$A$13:$A$24,ORÇAMENTO!E139)),OFFSET($D139,1,$C139,ROW($C$165)-ROW($C139)),0))</f>
        <v>0</v>
      </c>
      <c r="L139" s="116" t="str">
        <f ca="1">IF(OR($X139&gt;0,$C139=1,$C139=2,$C139=3,$C139=4),"F","")</f>
        <v>F</v>
      </c>
      <c r="M139" s="117" t="s">
        <v>199</v>
      </c>
      <c r="N139" s="118" t="str">
        <f ca="1">CHOOSE(1+LOG(1+2*(C139=1)+4*(C139=2)+8*(C139=3)+16*(C139=4)+32*(C139="S"),2),"","Meta","Nível 2","Nível 3","Nível 4","Serviço")</f>
        <v>Serviço</v>
      </c>
      <c r="O139" s="119" t="str">
        <f ca="1">IF(OR($C139=0,$L139=""),"-",CONCATENATE(E139&amp;".",IF(AND($A$5&gt;=2,$C139&gt;=2),F139&amp;".",""),IF(AND($A$5&gt;=3,$C139&gt;=3),G139&amp;".",""),IF(AND($A$5&gt;=4,$C139&gt;=4),H139&amp;".",""),IF($C139="S",I139&amp;".","")))</f>
        <v>8.2.12.</v>
      </c>
      <c r="P139" s="120" t="s">
        <v>247</v>
      </c>
      <c r="Q139" s="121" t="s">
        <v>552</v>
      </c>
      <c r="R139" s="122" t="str">
        <f ca="1">IF($C139="S",REFERENCIA.Descricao,"(digite a descrição aqui)")</f>
        <v>CHUVEIRO ELÉTRICO COMUM CORPO PLÁSTICO, TIPO DUCHA - FORNECIMENTO E INSTALAÇÃO. AF_02/2026</v>
      </c>
      <c r="S139" s="123" t="str">
        <f ca="1">REFERENCIA.Unidade</f>
        <v>UN</v>
      </c>
      <c r="T139" s="124">
        <f ca="1">OFFSET(CÁLCULO!H$15,ROW($T139)-ROW(T$15),0)</f>
        <v>2</v>
      </c>
      <c r="U139" s="125">
        <f t="shared" ca="1" si="120"/>
        <v>155.19999999999999</v>
      </c>
      <c r="V139" s="126" t="s">
        <v>156</v>
      </c>
      <c r="W139" s="124">
        <f ca="1">IF($C139="S",ROUND(IF(TIPOORCAMENTO="Proposto",ORÇAMENTO.CustoUnitario*(1+$AH139),ORÇAMENTO.PrecoUnitarioLicitado),15-13*$AF$10),0)</f>
        <v>186.78</v>
      </c>
      <c r="X139" s="127">
        <f ca="1">IF($C139="S",IF(Import.TipoArredondamento&lt;&gt;"TransfereGOV",VTOTAL1,SUM(OFFSET(CÁLCULO!$AA$15,ROW($X139)-ROW($X$15),1):OFFSET(CÁLCULO!$AL$15,ROW($X139)-ROW($X$15),-1))),IF($C139=0,0,ROUND(SomaAgrup,15-13*$AF$11)))</f>
        <v>373.56</v>
      </c>
      <c r="Y139" s="128" t="s">
        <v>245</v>
      </c>
      <c r="Z139" t="str">
        <f ca="1">IF(AND($C139="S",$X139&gt;0),IF(ISBLANK($Y139),"RA",LEFT($Y139,2)),"")</f>
        <v>RA</v>
      </c>
      <c r="AA139" s="129">
        <f ca="1">IF($C139="S",IF($Z139="CP",$X139,IF($Z139="RA",(($X139)*QCI!$AA$3),0)),SomaAgrup)</f>
        <v>373.56</v>
      </c>
      <c r="AB139" s="130">
        <f ca="1">IF($C139="S",IF($Z139="OU",ROUND($X139,2),0),SomaAgrup)</f>
        <v>0</v>
      </c>
      <c r="AC139" s="131" t="str">
        <f ca="1">IF($N139="","",IF(ORÇAMENTO.Descricao="","DESCRIÇÃO",IF(AND($C139="S",ORÇAMENTO.Unidade=""),"UNIDADE",IF($X139&lt;0,"VALOR NEGATIVO",IF(OR(AND(TIPOORCAMENTO="Proposto",$AG139&lt;&gt;"",$AG139&gt;0,ORÇAMENTO.CustoUnitario&gt;$AG139),AND(TIPOORCAMENTO="LICITADO",ORÇAMENTO.PrecoUnitarioLicitado&gt;$AN139)),"ACIMA REF.","")))))</f>
        <v/>
      </c>
      <c r="AD139" t="str">
        <f ca="1">IF(C139&lt;=CRONO.NivelExibicao,MAX($AD$15:OFFSET(AD139,-1,0))+IF($C139&lt;&gt;1,1,MAX(1,COUNTIF(QCI!$A$13:$A$24,OFFSET($E139,-1,0)))),"")</f>
        <v/>
      </c>
      <c r="AE139" s="7" t="str">
        <f ca="1">IF(AND($C139="S",ORÇAMENTO.CodBarra&lt;&gt;""),IF(ORÇAMENTO.Fonte="",ORÇAMENTO.CodBarra,CONCATENATE(ORÇAMENTO.Fonte," ",ORÇAMENTO.CodBarra)))</f>
        <v>SINAPI 100860</v>
      </c>
      <c r="AF139" s="13">
        <f ca="1">IF(ISERROR(INDIRECT(ORÇAMENTO.BancoRef)),"(abra o arquivo 'Referência "&amp;Excel_BuiltIn_Database&amp;".xlsm)",IF(OR($C139&lt;&gt;"S",ORÇAMENTO.CodBarra=""),"(Sem Código)",IF(ISERROR(MATCH($AE139,INDIRECT(ORÇAMENTO.BancoRef),0)),"(Código não identificado nas referências)",MATCH($AE139,INDIRECT(ORÇAMENTO.BancoRef),0))))</f>
        <v>13751</v>
      </c>
      <c r="AG139" s="498">
        <f ca="1">ROUND(IF(DESONERACAO="sim",REFERENCIA.Desonerado,REFERENCIA.NaoDesonerado),2)</f>
        <v>155.19999999999999</v>
      </c>
      <c r="AH139" s="499">
        <f ca="1">ROUND(IF(ISNUMBER(ORÇAMENTO.OpcaoBDI),ORÇAMENTO.OpcaoBDI,IF(LEFT(ORÇAMENTO.OpcaoBDI,3)="BDI",HLOOKUP(ORÇAMENTO.OpcaoBDI,$F$4:$H$5,2,FALSE),0)),15-11*$AF$9)</f>
        <v>0.20349999999999999</v>
      </c>
      <c r="AJ139" s="501">
        <v>2</v>
      </c>
      <c r="AL139" s="527"/>
      <c r="AM139" s="381">
        <f t="shared" ca="1" si="124"/>
        <v>373.56</v>
      </c>
      <c r="AN139" s="566">
        <f ca="1">ROUND(ORÇAMENTO.CustoUnitario*(1+$AH139),2)</f>
        <v>186.78</v>
      </c>
    </row>
    <row r="140" spans="1:40" ht="25.5" x14ac:dyDescent="0.2">
      <c r="A140" t="str">
        <f>CHOOSE(1+LOG(1+2*(ORÇAMENTO.Nivel="Meta")+4*(ORÇAMENTO.Nivel="Nível 2")+8*(ORÇAMENTO.Nivel="Nível 3")+16*(ORÇAMENTO.Nivel="Nível 4")+32*(ORÇAMENTO.Nivel="Serviço"),2),0,1,2,3,4,"S")</f>
        <v>S</v>
      </c>
      <c r="B140">
        <f t="shared" ref="B140:B141" ca="1" si="156">IF(OR(C140="s",C140=0),OFFSET(B140,-1,0),C140)</f>
        <v>2</v>
      </c>
      <c r="C140" t="str">
        <f t="shared" ref="C140:C141" ca="1" si="157">IF(OFFSET(C140,-1,0)="L",1,IF(OFFSET(C140,-1,0)=1,2,IF(OR(A140="s",A140=0),"S",IF(AND(OFFSET(C140,-1,0)=2,A140=4),3,IF(AND(OR(OFFSET(C140,-1,0)="s",OFFSET(C140,-1,0)=0),A140&lt;&gt;"s",A140&gt;OFFSET(B140,-1,0)),OFFSET(B140,-1,0),A140)))))</f>
        <v>S</v>
      </c>
      <c r="D140">
        <f t="shared" ref="D140:D141" ca="1" si="158">IF(OR(C140="S",C140=0),0,IF(ISERROR(K140),J140,SMALL(J140:K140,1)))</f>
        <v>0</v>
      </c>
      <c r="E140">
        <f ca="1">IF($C140=1,OFFSET(E140,-1,0)+MAX(1,COUNTIF(QCI!$A$13:$A$24,OFFSET(ORÇAMENTO!E140,-1,0))),OFFSET(E140,-1,0))</f>
        <v>8</v>
      </c>
      <c r="F140">
        <f t="shared" ref="F140:F141" ca="1" si="159">IF($C140=1,0,IF($C140=2,OFFSET(F140,-1,0)+1,OFFSET(F140,-1,0)))</f>
        <v>2</v>
      </c>
      <c r="G140">
        <f t="shared" ref="G140:G141" ca="1" si="160">IF(AND($C140&lt;=2,$C140&lt;&gt;0),0,IF($C140=3,OFFSET(G140,-1,0)+1,OFFSET(G140,-1,0)))</f>
        <v>0</v>
      </c>
      <c r="H140">
        <f t="shared" ref="H140:H141" ca="1" si="161">IF(AND($C140&lt;=3,$C140&lt;&gt;0),0,IF($C140=4,OFFSET(H140,-1,0)+1,OFFSET(H140,-1,0)))</f>
        <v>0</v>
      </c>
      <c r="I140">
        <f t="shared" ref="I140:I141" ca="1" si="162">IF(AND($C140&lt;=4,$C140&lt;&gt;0),0,IF(AND($C140="S",$X140&gt;0),OFFSET(I140,-1,0)+1,OFFSET(I140,-1,0)))</f>
        <v>13</v>
      </c>
      <c r="J140">
        <f ca="1">IF(OR($C140="S",$C140=0),0,MATCH(0,OFFSET($D140,1,$C140,ROW($C$165)-ROW($C140)),0))</f>
        <v>0</v>
      </c>
      <c r="K140">
        <f ca="1">IF(OR($C140="S",$C140=0),0,MATCH(OFFSET($D140,0,$C140)+IF($C140&lt;&gt;1,1,COUNTIF(QCI!$A$13:$A$24,ORÇAMENTO!E140)),OFFSET($D140,1,$C140,ROW($C$165)-ROW($C140)),0))</f>
        <v>0</v>
      </c>
      <c r="L140" s="116" t="str">
        <f t="shared" ref="L140:L141" ca="1" si="163">IF(OR($X140&gt;0,$C140=1,$C140=2,$C140=3,$C140=4),"F","")</f>
        <v>F</v>
      </c>
      <c r="M140" s="117" t="s">
        <v>199</v>
      </c>
      <c r="N140" s="118" t="str">
        <f t="shared" ref="N140:N141" ca="1" si="164">CHOOSE(1+LOG(1+2*(C140=1)+4*(C140=2)+8*(C140=3)+16*(C140=4)+32*(C140="S"),2),"","Meta","Nível 2","Nível 3","Nível 4","Serviço")</f>
        <v>Serviço</v>
      </c>
      <c r="O140" s="119" t="str">
        <f t="shared" ref="O140:O141" ca="1" si="165">IF(OR($C140=0,$L140=""),"-",CONCATENATE(E140&amp;".",IF(AND($A$5&gt;=2,$C140&gt;=2),F140&amp;".",""),IF(AND($A$5&gt;=3,$C140&gt;=3),G140&amp;".",""),IF(AND($A$5&gt;=4,$C140&gt;=4),H140&amp;".",""),IF($C140="S",I140&amp;".","")))</f>
        <v>8.2.13.</v>
      </c>
      <c r="P140" s="120" t="s">
        <v>247</v>
      </c>
      <c r="Q140" s="121" t="s">
        <v>560</v>
      </c>
      <c r="R140" s="122" t="str">
        <f ca="1">IF($C140="S",REFERENCIA.Descricao,"(digite a descrição aqui)")</f>
        <v>BANCO ARTICULADO, EM AÇO INOX, PARA PCD, FIXADO NA PAREDE - FORNECIMENTO E INSTALAÇÃO. AF_02/2026</v>
      </c>
      <c r="S140" s="123" t="str">
        <f ca="1">REFERENCIA.Unidade</f>
        <v>UN</v>
      </c>
      <c r="T140" s="124">
        <f ca="1">OFFSET(CÁLCULO!H$15,ROW($T140)-ROW(T$15),0)</f>
        <v>2</v>
      </c>
      <c r="U140" s="125">
        <f t="shared" ca="1" si="120"/>
        <v>1101.6199999999999</v>
      </c>
      <c r="V140" s="126" t="s">
        <v>156</v>
      </c>
      <c r="W140" s="124">
        <f ca="1">IF($C140="S",ROUND(IF(TIPOORCAMENTO="Proposto",ORÇAMENTO.CustoUnitario*(1+$AH140),ORÇAMENTO.PrecoUnitarioLicitado),15-13*$AF$10),0)</f>
        <v>1325.8</v>
      </c>
      <c r="X140" s="127">
        <f ca="1">IF($C140="S",IF(Import.TipoArredondamento&lt;&gt;"TransfereGOV",VTOTAL1,SUM(OFFSET(CÁLCULO!$AA$15,ROW($X140)-ROW($X$15),1):OFFSET(CÁLCULO!$AL$15,ROW($X140)-ROW($X$15),-1))),IF($C140=0,0,ROUND(SomaAgrup,15-13*$AF$11)))</f>
        <v>2651.6</v>
      </c>
      <c r="Y140" s="128" t="s">
        <v>245</v>
      </c>
      <c r="Z140" t="str">
        <f t="shared" ref="Z140:Z141" ca="1" si="166">IF(AND($C140="S",$X140&gt;0),IF(ISBLANK($Y140),"RA",LEFT($Y140,2)),"")</f>
        <v>RA</v>
      </c>
      <c r="AA140" s="129">
        <f ca="1">IF($C140="S",IF($Z140="CP",$X140,IF($Z140="RA",(($X140)*QCI!$AA$3),0)),SomaAgrup)</f>
        <v>2651.6</v>
      </c>
      <c r="AB140" s="130">
        <f ca="1">IF($C140="S",IF($Z140="OU",ROUND($X140,2),0),SomaAgrup)</f>
        <v>0</v>
      </c>
      <c r="AC140" s="131" t="str">
        <f ca="1">IF($N140="","",IF(ORÇAMENTO.Descricao="","DESCRIÇÃO",IF(AND($C140="S",ORÇAMENTO.Unidade=""),"UNIDADE",IF($X140&lt;0,"VALOR NEGATIVO",IF(OR(AND(TIPOORCAMENTO="Proposto",$AG140&lt;&gt;"",$AG140&gt;0,ORÇAMENTO.CustoUnitario&gt;$AG140),AND(TIPOORCAMENTO="LICITADO",ORÇAMENTO.PrecoUnitarioLicitado&gt;$AN140)),"ACIMA REF.","")))))</f>
        <v/>
      </c>
      <c r="AD140" t="str">
        <f ca="1">IF(C140&lt;=CRONO.NivelExibicao,MAX($AD$15:OFFSET(AD140,-1,0))+IF($C140&lt;&gt;1,1,MAX(1,COUNTIF(QCI!$A$13:$A$24,OFFSET($E140,-1,0)))),"")</f>
        <v/>
      </c>
      <c r="AE140" s="7" t="str">
        <f ca="1">IF(AND($C140="S",ORÇAMENTO.CodBarra&lt;&gt;""),IF(ORÇAMENTO.Fonte="",ORÇAMENTO.CodBarra,CONCATENATE(ORÇAMENTO.Fonte," ",ORÇAMENTO.CodBarra)))</f>
        <v>SINAPI 100875</v>
      </c>
      <c r="AF140" s="13">
        <f ca="1">IF(ISERROR(INDIRECT(ORÇAMENTO.BancoRef)),"(abra o arquivo 'Referência "&amp;Excel_BuiltIn_Database&amp;".xlsm)",IF(OR($C140&lt;&gt;"S",ORÇAMENTO.CodBarra=""),"(Sem Código)",IF(ISERROR(MATCH($AE140,INDIRECT(ORÇAMENTO.BancoRef),0)),"(Código não identificado nas referências)",MATCH($AE140,INDIRECT(ORÇAMENTO.BancoRef),0))))</f>
        <v>13737</v>
      </c>
      <c r="AG140" s="498">
        <f ca="1">ROUND(IF(DESONERACAO="sim",REFERENCIA.Desonerado,REFERENCIA.NaoDesonerado),2)</f>
        <v>1101.6199999999999</v>
      </c>
      <c r="AH140" s="499">
        <f ca="1">ROUND(IF(ISNUMBER(ORÇAMENTO.OpcaoBDI),ORÇAMENTO.OpcaoBDI,IF(LEFT(ORÇAMENTO.OpcaoBDI,3)="BDI",HLOOKUP(ORÇAMENTO.OpcaoBDI,$F$4:$H$5,2,FALSE),0)),15-11*$AF$9)</f>
        <v>0.20349999999999999</v>
      </c>
      <c r="AJ140" s="501">
        <v>2</v>
      </c>
      <c r="AL140" s="527"/>
      <c r="AM140" s="381">
        <f t="shared" ca="1" si="124"/>
        <v>2651.6</v>
      </c>
      <c r="AN140" s="566">
        <f ca="1">ROUND(ORÇAMENTO.CustoUnitario*(1+$AH140),2)</f>
        <v>1325.8</v>
      </c>
    </row>
    <row r="141" spans="1:40" ht="25.5" x14ac:dyDescent="0.2">
      <c r="A141" t="str">
        <f>CHOOSE(1+LOG(1+2*(ORÇAMENTO.Nivel="Meta")+4*(ORÇAMENTO.Nivel="Nível 2")+8*(ORÇAMENTO.Nivel="Nível 3")+16*(ORÇAMENTO.Nivel="Nível 4")+32*(ORÇAMENTO.Nivel="Serviço"),2),0,1,2,3,4,"S")</f>
        <v>S</v>
      </c>
      <c r="B141">
        <f t="shared" ca="1" si="156"/>
        <v>2</v>
      </c>
      <c r="C141" t="str">
        <f t="shared" ca="1" si="157"/>
        <v>S</v>
      </c>
      <c r="D141">
        <f t="shared" ca="1" si="158"/>
        <v>0</v>
      </c>
      <c r="E141">
        <f ca="1">IF($C141=1,OFFSET(E141,-1,0)+MAX(1,COUNTIF(QCI!$A$13:$A$24,OFFSET(ORÇAMENTO!E141,-1,0))),OFFSET(E141,-1,0))</f>
        <v>8</v>
      </c>
      <c r="F141">
        <f t="shared" ca="1" si="159"/>
        <v>2</v>
      </c>
      <c r="G141">
        <f t="shared" ca="1" si="160"/>
        <v>0</v>
      </c>
      <c r="H141">
        <f t="shared" ca="1" si="161"/>
        <v>0</v>
      </c>
      <c r="I141">
        <f t="shared" ca="1" si="162"/>
        <v>14</v>
      </c>
      <c r="J141">
        <f ca="1">IF(OR($C141="S",$C141=0),0,MATCH(0,OFFSET($D141,1,$C141,ROW($C$165)-ROW($C141)),0))</f>
        <v>0</v>
      </c>
      <c r="K141">
        <f ca="1">IF(OR($C141="S",$C141=0),0,MATCH(OFFSET($D141,0,$C141)+IF($C141&lt;&gt;1,1,COUNTIF(QCI!$A$13:$A$24,ORÇAMENTO!E141)),OFFSET($D141,1,$C141,ROW($C$165)-ROW($C141)),0))</f>
        <v>0</v>
      </c>
      <c r="L141" s="116" t="str">
        <f t="shared" ca="1" si="163"/>
        <v>F</v>
      </c>
      <c r="M141" s="117" t="s">
        <v>199</v>
      </c>
      <c r="N141" s="118" t="str">
        <f t="shared" ca="1" si="164"/>
        <v>Serviço</v>
      </c>
      <c r="O141" s="119" t="str">
        <f t="shared" ca="1" si="165"/>
        <v>8.2.14.</v>
      </c>
      <c r="P141" s="120" t="s">
        <v>247</v>
      </c>
      <c r="Q141" s="121" t="s">
        <v>561</v>
      </c>
      <c r="R141" s="122" t="str">
        <f ca="1">IF($C141="S",REFERENCIA.Descricao,"(digite a descrição aqui)")</f>
        <v>BARRA DE APOIO EM "L", EM AÇO INOX POLIDO 80 X 80 CM, FIXADA NA PAREDE - FORNECIMENTO E INSTALAÇÃO. AF_02/2026</v>
      </c>
      <c r="S141" s="123" t="str">
        <f ca="1">REFERENCIA.Unidade</f>
        <v>UN</v>
      </c>
      <c r="T141" s="124">
        <f ca="1">OFFSET(CÁLCULO!H$15,ROW($T141)-ROW(T$15),0)</f>
        <v>2</v>
      </c>
      <c r="U141" s="125">
        <f t="shared" ca="1" si="120"/>
        <v>705.26</v>
      </c>
      <c r="V141" s="126" t="s">
        <v>156</v>
      </c>
      <c r="W141" s="124">
        <f ca="1">IF($C141="S",ROUND(IF(TIPOORCAMENTO="Proposto",ORÇAMENTO.CustoUnitario*(1+$AH141),ORÇAMENTO.PrecoUnitarioLicitado),15-13*$AF$10),0)</f>
        <v>848.78</v>
      </c>
      <c r="X141" s="127">
        <f ca="1">IF($C141="S",IF(Import.TipoArredondamento&lt;&gt;"TransfereGOV",VTOTAL1,SUM(OFFSET(CÁLCULO!$AA$15,ROW($X141)-ROW($X$15),1):OFFSET(CÁLCULO!$AL$15,ROW($X141)-ROW($X$15),-1))),IF($C141=0,0,ROUND(SomaAgrup,15-13*$AF$11)))</f>
        <v>1697.56</v>
      </c>
      <c r="Y141" s="128" t="s">
        <v>245</v>
      </c>
      <c r="Z141" t="str">
        <f t="shared" ca="1" si="166"/>
        <v>RA</v>
      </c>
      <c r="AA141" s="129">
        <f ca="1">IF($C141="S",IF($Z141="CP",$X141,IF($Z141="RA",(($X141)*QCI!$AA$3),0)),SomaAgrup)</f>
        <v>1697.56</v>
      </c>
      <c r="AB141" s="130">
        <f ca="1">IF($C141="S",IF($Z141="OU",ROUND($X141,2),0),SomaAgrup)</f>
        <v>0</v>
      </c>
      <c r="AC141" s="131" t="str">
        <f ca="1">IF($N141="","",IF(ORÇAMENTO.Descricao="","DESCRIÇÃO",IF(AND($C141="S",ORÇAMENTO.Unidade=""),"UNIDADE",IF($X141&lt;0,"VALOR NEGATIVO",IF(OR(AND(TIPOORCAMENTO="Proposto",$AG141&lt;&gt;"",$AG141&gt;0,ORÇAMENTO.CustoUnitario&gt;$AG141),AND(TIPOORCAMENTO="LICITADO",ORÇAMENTO.PrecoUnitarioLicitado&gt;$AN141)),"ACIMA REF.","")))))</f>
        <v/>
      </c>
      <c r="AD141" t="str">
        <f ca="1">IF(C141&lt;=CRONO.NivelExibicao,MAX($AD$15:OFFSET(AD141,-1,0))+IF($C141&lt;&gt;1,1,MAX(1,COUNTIF(QCI!$A$13:$A$24,OFFSET($E141,-1,0)))),"")</f>
        <v/>
      </c>
      <c r="AE141" s="7" t="str">
        <f ca="1">IF(AND($C141="S",ORÇAMENTO.CodBarra&lt;&gt;""),IF(ORÇAMENTO.Fonte="",ORÇAMENTO.CodBarra,CONCATENATE(ORÇAMENTO.Fonte," ",ORÇAMENTO.CodBarra)))</f>
        <v>SINAPI 100864</v>
      </c>
      <c r="AF141" s="13">
        <f ca="1">IF(ISERROR(INDIRECT(ORÇAMENTO.BancoRef)),"(abra o arquivo 'Referência "&amp;Excel_BuiltIn_Database&amp;".xlsm)",IF(OR($C141&lt;&gt;"S",ORÇAMENTO.CodBarra=""),"(Sem Código)",IF(ISERROR(MATCH($AE141,INDIRECT(ORÇAMENTO.BancoRef),0)),"(Código não identificado nas referências)",MATCH($AE141,INDIRECT(ORÇAMENTO.BancoRef),0))))</f>
        <v>13739</v>
      </c>
      <c r="AG141" s="498">
        <f ca="1">ROUND(IF(DESONERACAO="sim",REFERENCIA.Desonerado,REFERENCIA.NaoDesonerado),2)</f>
        <v>705.26</v>
      </c>
      <c r="AH141" s="499">
        <f ca="1">ROUND(IF(ISNUMBER(ORÇAMENTO.OpcaoBDI),ORÇAMENTO.OpcaoBDI,IF(LEFT(ORÇAMENTO.OpcaoBDI,3)="BDI",HLOOKUP(ORÇAMENTO.OpcaoBDI,$F$4:$H$5,2,FALSE),0)),15-11*$AF$9)</f>
        <v>0.20349999999999999</v>
      </c>
      <c r="AJ141" s="501">
        <v>2</v>
      </c>
      <c r="AL141" s="527"/>
      <c r="AM141" s="381">
        <f t="shared" ca="1" si="124"/>
        <v>1697.56</v>
      </c>
      <c r="AN141" s="566">
        <f ca="1">ROUND(ORÇAMENTO.CustoUnitario*(1+$AH141),2)</f>
        <v>848.78</v>
      </c>
    </row>
    <row r="142" spans="1:40" x14ac:dyDescent="0.2">
      <c r="A142">
        <f t="shared" si="141"/>
        <v>2</v>
      </c>
      <c r="B142">
        <f t="shared" ca="1" si="142"/>
        <v>2</v>
      </c>
      <c r="C142">
        <f t="shared" ca="1" si="143"/>
        <v>2</v>
      </c>
      <c r="D142">
        <f t="shared" ca="1" si="144"/>
        <v>3</v>
      </c>
      <c r="E142">
        <f ca="1">IF($C142=1,OFFSET(E142,-1,0)+MAX(1,COUNTIF(QCI!$A$13:$A$24,OFFSET(ORÇAMENTO!E142,-1,0))),OFFSET(E142,-1,0))</f>
        <v>8</v>
      </c>
      <c r="F142">
        <f t="shared" ca="1" si="145"/>
        <v>3</v>
      </c>
      <c r="G142">
        <f t="shared" ca="1" si="146"/>
        <v>0</v>
      </c>
      <c r="H142">
        <f t="shared" ca="1" si="147"/>
        <v>0</v>
      </c>
      <c r="I142">
        <f t="shared" ca="1" si="148"/>
        <v>0</v>
      </c>
      <c r="J142">
        <f ca="1">IF(OR($C142="S",$C142=0),0,MATCH(0,OFFSET($D142,1,$C142,ROW($C$165)-ROW($C142)),0))</f>
        <v>3</v>
      </c>
      <c r="K142" t="e">
        <f ca="1">IF(OR($C142="S",$C142=0),0,MATCH(OFFSET($D142,0,$C142)+IF($C142&lt;&gt;1,1,COUNTIF(QCI!$A$13:$A$24,ORÇAMENTO!E142)),OFFSET($D142,1,$C142,ROW($C$165)-ROW($C142)),0))</f>
        <v>#N/A</v>
      </c>
      <c r="L142" s="116" t="str">
        <f t="shared" ca="1" si="149"/>
        <v>F</v>
      </c>
      <c r="M142" s="117" t="s">
        <v>196</v>
      </c>
      <c r="N142" s="118" t="str">
        <f t="shared" ca="1" si="150"/>
        <v>Nível 2</v>
      </c>
      <c r="O142" s="119" t="str">
        <f t="shared" ca="1" si="151"/>
        <v>8.3.</v>
      </c>
      <c r="P142" s="120" t="s">
        <v>247</v>
      </c>
      <c r="Q142" s="121"/>
      <c r="R142" s="122" t="s">
        <v>558</v>
      </c>
      <c r="S142" s="123" t="str">
        <f ca="1">REFERENCIA.Unidade</f>
        <v>-</v>
      </c>
      <c r="T142" s="124">
        <f ca="1">OFFSET(CÁLCULO!H$15,ROW($T142)-ROW(T$15),0)</f>
        <v>0</v>
      </c>
      <c r="U142" s="125">
        <f t="shared" ca="1" si="120"/>
        <v>0</v>
      </c>
      <c r="V142" s="126" t="s">
        <v>156</v>
      </c>
      <c r="W142" s="124">
        <f ca="1">IF($C142="S",ROUND(IF(TIPOORCAMENTO="Proposto",ORÇAMENTO.CustoUnitario*(1+$AH142),ORÇAMENTO.PrecoUnitarioLicitado),15-13*$AF$10),0)</f>
        <v>0</v>
      </c>
      <c r="X142" s="127">
        <f ca="1">IF($C142="S",IF(Import.TipoArredondamento&lt;&gt;"TransfereGOV",VTOTAL1,SUM(OFFSET(CÁLCULO!$AA$15,ROW($X142)-ROW($X$15),1):OFFSET(CÁLCULO!$AL$15,ROW($X142)-ROW($X$15),-1))),IF($C142=0,0,ROUND(SomaAgrup,15-13*$AF$11)))</f>
        <v>7325.72</v>
      </c>
      <c r="Y142" s="128" t="s">
        <v>245</v>
      </c>
      <c r="Z142" t="str">
        <f t="shared" ca="1" si="152"/>
        <v/>
      </c>
      <c r="AA142" s="129">
        <f ca="1">IF($C142="S",IF($Z142="CP",$X142,IF($Z142="RA",(($X142)*QCI!$AA$3),0)),SomaAgrup)</f>
        <v>7325.7199999999993</v>
      </c>
      <c r="AB142" s="130">
        <f t="shared" ca="1" si="153"/>
        <v>0</v>
      </c>
      <c r="AC142" s="131" t="str">
        <f ca="1">IF($N142="","",IF(ORÇAMENTO.Descricao="","DESCRIÇÃO",IF(AND($C142="S",ORÇAMENTO.Unidade=""),"UNIDADE",IF($X142&lt;0,"VALOR NEGATIVO",IF(OR(AND(TIPOORCAMENTO="Proposto",$AG142&lt;&gt;"",$AG142&gt;0,ORÇAMENTO.CustoUnitario&gt;$AG142),AND(TIPOORCAMENTO="LICITADO",ORÇAMENTO.PrecoUnitarioLicitado&gt;$AN142)),"ACIMA REF.","")))))</f>
        <v/>
      </c>
      <c r="AD142">
        <f ca="1">IF(C142&lt;=CRONO.NivelExibicao,MAX($AD$15:OFFSET(AD142,-1,0))+IF($C142&lt;&gt;1,1,MAX(1,COUNTIF(QCI!$A$13:$A$24,OFFSET($E142,-1,0)))),"")</f>
        <v>27</v>
      </c>
      <c r="AE142" s="7" t="b">
        <f ca="1">IF(AND($C142="S",ORÇAMENTO.CodBarra&lt;&gt;""),IF(ORÇAMENTO.Fonte="",ORÇAMENTO.CodBarra,CONCATENATE(ORÇAMENTO.Fonte," ",ORÇAMENTO.CodBarra)))</f>
        <v>0</v>
      </c>
      <c r="AF142" s="13" t="str">
        <f ca="1">IF(ISERROR(INDIRECT(ORÇAMENTO.BancoRef)),"(abra o arquivo 'Referência "&amp;Excel_BuiltIn_Database&amp;".xlsm)",IF(OR($C142&lt;&gt;"S",ORÇAMENTO.CodBarra=""),"(Sem Código)",IF(ISERROR(MATCH($AE142,INDIRECT(ORÇAMENTO.BancoRef),0)),"(Código não identificado nas referências)",MATCH($AE142,INDIRECT(ORÇAMENTO.BancoRef),0))))</f>
        <v>(Sem Código)</v>
      </c>
      <c r="AG142" s="498">
        <f ca="1">ROUND(IF(DESONERACAO="sim",REFERENCIA.Desonerado,REFERENCIA.NaoDesonerado),2)</f>
        <v>0</v>
      </c>
      <c r="AH142" s="499">
        <f t="shared" ca="1" si="154"/>
        <v>0.20349999999999999</v>
      </c>
      <c r="AJ142" s="501"/>
      <c r="AL142" s="527"/>
      <c r="AM142" s="381">
        <f t="shared" ca="1" si="124"/>
        <v>7325.72</v>
      </c>
      <c r="AN142" s="566">
        <f t="shared" ca="1" si="155"/>
        <v>0</v>
      </c>
    </row>
    <row r="143" spans="1:40" ht="63.75" x14ac:dyDescent="0.2">
      <c r="A143" t="str">
        <f t="shared" si="141"/>
        <v>S</v>
      </c>
      <c r="B143">
        <f ca="1">IF(OR(C143="s",C143=0),OFFSET(B143,-1,0),C143)</f>
        <v>2</v>
      </c>
      <c r="C143" t="str">
        <f ca="1">IF(OFFSET(C143,-1,0)="L",1,IF(OFFSET(C143,-1,0)=1,2,IF(OR(A143="s",A143=0),"S",IF(AND(OFFSET(C143,-1,0)=2,A143=4),3,IF(AND(OR(OFFSET(C143,-1,0)="s",OFFSET(C143,-1,0)=0),A143&lt;&gt;"s",A143&gt;OFFSET(B143,-1,0)),OFFSET(B143,-1,0),A143)))))</f>
        <v>S</v>
      </c>
      <c r="D143">
        <f ca="1">IF(OR(C143="S",C143=0),0,IF(ISERROR(K143),J143,SMALL(J143:K143,1)))</f>
        <v>0</v>
      </c>
      <c r="E143">
        <f ca="1">IF($C143=1,OFFSET(E143,-1,0)+MAX(1,COUNTIF(QCI!$A$13:$A$24,OFFSET(ORÇAMENTO!E143,-1,0))),OFFSET(E143,-1,0))</f>
        <v>8</v>
      </c>
      <c r="F143">
        <f ca="1">IF($C143=1,0,IF($C143=2,OFFSET(F143,-1,0)+1,OFFSET(F143,-1,0)))</f>
        <v>3</v>
      </c>
      <c r="G143">
        <f ca="1">IF(AND($C143&lt;=2,$C143&lt;&gt;0),0,IF($C143=3,OFFSET(G143,-1,0)+1,OFFSET(G143,-1,0)))</f>
        <v>0</v>
      </c>
      <c r="H143">
        <f ca="1">IF(AND($C143&lt;=3,$C143&lt;&gt;0),0,IF($C143=4,OFFSET(H143,-1,0)+1,OFFSET(H143,-1,0)))</f>
        <v>0</v>
      </c>
      <c r="I143">
        <f ca="1">IF(AND($C143&lt;=4,$C143&lt;&gt;0),0,IF(AND($C143="S",$X143&gt;0),OFFSET(I143,-1,0)+1,OFFSET(I143,-1,0)))</f>
        <v>1</v>
      </c>
      <c r="J143">
        <f ca="1">IF(OR($C143="S",$C143=0),0,MATCH(0,OFFSET($D143,1,$C143,ROW($C$165)-ROW($C143)),0))</f>
        <v>0</v>
      </c>
      <c r="K143">
        <f ca="1">IF(OR($C143="S",$C143=0),0,MATCH(OFFSET($D143,0,$C143)+IF($C143&lt;&gt;1,1,COUNTIF(QCI!$A$13:$A$24,ORÇAMENTO!E143)),OFFSET($D143,1,$C143,ROW($C$165)-ROW($C143)),0))</f>
        <v>0</v>
      </c>
      <c r="L143" s="116" t="str">
        <f ca="1">IF(OR($X143&gt;0,$C143=1,$C143=2,$C143=3,$C143=4),"F","")</f>
        <v>F</v>
      </c>
      <c r="M143" s="117" t="s">
        <v>199</v>
      </c>
      <c r="N143" s="118" t="str">
        <f ca="1">CHOOSE(1+LOG(1+2*(C143=1)+4*(C143=2)+8*(C143=3)+16*(C143=4)+32*(C143="S"),2),"","Meta","Nível 2","Nível 3","Nível 4","Serviço")</f>
        <v>Serviço</v>
      </c>
      <c r="O143" s="119" t="str">
        <f ca="1">IF(OR($C143=0,$L143=""),"-",CONCATENATE(E143&amp;".",IF(AND($A$5&gt;=2,$C143&gt;=2),F143&amp;".",""),IF(AND($A$5&gt;=3,$C143&gt;=3),G143&amp;".",""),IF(AND($A$5&gt;=4,$C143&gt;=4),H143&amp;".",""),IF($C143="S",I143&amp;".","")))</f>
        <v>8.3.1.</v>
      </c>
      <c r="P143" s="120" t="s">
        <v>247</v>
      </c>
      <c r="Q143" s="121" t="s">
        <v>480</v>
      </c>
      <c r="R143" s="122" t="str">
        <f ca="1">IF($C143="S",REFERENCIA.Descricao,"(digite a descrição aqui)")</f>
        <v>BANCADA GRANITO CINZA 150 X 60 CM, COM CUBA DE EMBUTIR DE AÇO, VÁLVULA AMERICANA EM METAL, SIFÃO FLEXÍVEL EM PVC, ENGATE FLEXÍVEL 30 CM, TORNEIRA CROMADA LONGA, DE PAREDE, 1/2" OU 3/4", P/ COZINHA, PADRÃO POPULAR - FORNEC. E INSTALAÇÃO. AF_02/2026</v>
      </c>
      <c r="S143" s="123" t="str">
        <f ca="1">REFERENCIA.Unidade</f>
        <v>UN</v>
      </c>
      <c r="T143" s="124">
        <f ca="1">OFFSET(CÁLCULO!H$15,ROW($T143)-ROW(T$15),0)</f>
        <v>3</v>
      </c>
      <c r="U143" s="125">
        <f t="shared" ca="1" si="120"/>
        <v>1623.87</v>
      </c>
      <c r="V143" s="126" t="s">
        <v>156</v>
      </c>
      <c r="W143" s="124">
        <f ca="1">IF($C143="S",ROUND(IF(TIPOORCAMENTO="Proposto",ORÇAMENTO.CustoUnitario*(1+$AH143),ORÇAMENTO.PrecoUnitarioLicitado),15-13*$AF$10),0)</f>
        <v>1954.33</v>
      </c>
      <c r="X143" s="127">
        <f ca="1">IF($C143="S",IF(Import.TipoArredondamento&lt;&gt;"TransfereGOV",VTOTAL1,SUM(OFFSET(CÁLCULO!$AA$15,ROW($X143)-ROW($X$15),1):OFFSET(CÁLCULO!$AL$15,ROW($X143)-ROW($X$15),-1))),IF($C143=0,0,ROUND(SomaAgrup,15-13*$AF$11)))</f>
        <v>5862.99</v>
      </c>
      <c r="Y143" s="128" t="s">
        <v>245</v>
      </c>
      <c r="Z143" t="str">
        <f ca="1">IF(AND($C143="S",$X143&gt;0),IF(ISBLANK($Y143),"RA",LEFT($Y143,2)),"")</f>
        <v>RA</v>
      </c>
      <c r="AA143" s="129">
        <f ca="1">IF($C143="S",IF($Z143="CP",$X143,IF($Z143="RA",(($X143)*QCI!$AA$3),0)),SomaAgrup)</f>
        <v>5862.99</v>
      </c>
      <c r="AB143" s="130">
        <f t="shared" ca="1" si="153"/>
        <v>0</v>
      </c>
      <c r="AC143" s="131" t="str">
        <f ca="1">IF($N143="","",IF(ORÇAMENTO.Descricao="","DESCRIÇÃO",IF(AND($C143="S",ORÇAMENTO.Unidade=""),"UNIDADE",IF($X143&lt;0,"VALOR NEGATIVO",IF(OR(AND(TIPOORCAMENTO="Proposto",$AG143&lt;&gt;"",$AG143&gt;0,ORÇAMENTO.CustoUnitario&gt;$AG143),AND(TIPOORCAMENTO="LICITADO",ORÇAMENTO.PrecoUnitarioLicitado&gt;$AN143)),"ACIMA REF.","")))))</f>
        <v/>
      </c>
      <c r="AD143" t="str">
        <f ca="1">IF(C143&lt;=CRONO.NivelExibicao,MAX($AD$15:OFFSET(AD143,-1,0))+IF($C143&lt;&gt;1,1,MAX(1,COUNTIF(QCI!$A$13:$A$24,OFFSET($E143,-1,0)))),"")</f>
        <v/>
      </c>
      <c r="AE143" s="7" t="str">
        <f ca="1">IF(AND($C143="S",ORÇAMENTO.CodBarra&lt;&gt;""),IF(ORÇAMENTO.Fonte="",ORÇAMENTO.CodBarra,CONCATENATE(ORÇAMENTO.Fonte," ",ORÇAMENTO.CodBarra)))</f>
        <v>SINAPI 93441</v>
      </c>
      <c r="AF143" s="13">
        <f ca="1">IF(ISERROR(INDIRECT(ORÇAMENTO.BancoRef)),"(abra o arquivo 'Referência "&amp;Excel_BuiltIn_Database&amp;".xlsm)",IF(OR($C143&lt;&gt;"S",ORÇAMENTO.CodBarra=""),"(Sem Código)",IF(ISERROR(MATCH($AE143,INDIRECT(ORÇAMENTO.BancoRef),0)),"(Código não identificado nas referências)",MATCH($AE143,INDIRECT(ORÇAMENTO.BancoRef),0))))</f>
        <v>13733</v>
      </c>
      <c r="AG143" s="498">
        <f ca="1">ROUND(IF(DESONERACAO="sim",REFERENCIA.Desonerado,REFERENCIA.NaoDesonerado),2)</f>
        <v>1623.87</v>
      </c>
      <c r="AH143" s="499">
        <f t="shared" ca="1" si="154"/>
        <v>0.20349999999999999</v>
      </c>
      <c r="AJ143" s="501">
        <v>3</v>
      </c>
      <c r="AL143" s="527"/>
      <c r="AM143" s="381">
        <f t="shared" ca="1" si="124"/>
        <v>5862.99</v>
      </c>
      <c r="AN143" s="566">
        <f t="shared" ca="1" si="155"/>
        <v>1954.33</v>
      </c>
    </row>
    <row r="144" spans="1:40" ht="25.5" x14ac:dyDescent="0.2">
      <c r="A144" t="str">
        <f>CHOOSE(1+LOG(1+2*(ORÇAMENTO.Nivel="Meta")+4*(ORÇAMENTO.Nivel="Nível 2")+8*(ORÇAMENTO.Nivel="Nível 3")+16*(ORÇAMENTO.Nivel="Nível 4")+32*(ORÇAMENTO.Nivel="Serviço"),2),0,1,2,3,4,"S")</f>
        <v>S</v>
      </c>
      <c r="B144">
        <f ca="1">IF(OR(C144="s",C144=0),OFFSET(B144,-1,0),C144)</f>
        <v>2</v>
      </c>
      <c r="C144" t="str">
        <f ca="1">IF(OFFSET(C144,-1,0)="L",1,IF(OFFSET(C144,-1,0)=1,2,IF(OR(A144="s",A144=0),"S",IF(AND(OFFSET(C144,-1,0)=2,A144=4),3,IF(AND(OR(OFFSET(C144,-1,0)="s",OFFSET(C144,-1,0)=0),A144&lt;&gt;"s",A144&gt;OFFSET(B144,-1,0)),OFFSET(B144,-1,0),A144)))))</f>
        <v>S</v>
      </c>
      <c r="D144">
        <f ca="1">IF(OR(C144="S",C144=0),0,IF(ISERROR(K144),J144,SMALL(J144:K144,1)))</f>
        <v>0</v>
      </c>
      <c r="E144">
        <f ca="1">IF($C144=1,OFFSET(E144,-1,0)+MAX(1,COUNTIF(QCI!$A$13:$A$24,OFFSET(ORÇAMENTO!E144,-1,0))),OFFSET(E144,-1,0))</f>
        <v>8</v>
      </c>
      <c r="F144">
        <f ca="1">IF($C144=1,0,IF($C144=2,OFFSET(F144,-1,0)+1,OFFSET(F144,-1,0)))</f>
        <v>3</v>
      </c>
      <c r="G144">
        <f ca="1">IF(AND($C144&lt;=2,$C144&lt;&gt;0),0,IF($C144=3,OFFSET(G144,-1,0)+1,OFFSET(G144,-1,0)))</f>
        <v>0</v>
      </c>
      <c r="H144">
        <f ca="1">IF(AND($C144&lt;=3,$C144&lt;&gt;0),0,IF($C144=4,OFFSET(H144,-1,0)+1,OFFSET(H144,-1,0)))</f>
        <v>0</v>
      </c>
      <c r="I144">
        <f ca="1">IF(AND($C144&lt;=4,$C144&lt;&gt;0),0,IF(AND($C144="S",$X144&gt;0),OFFSET(I144,-1,0)+1,OFFSET(I144,-1,0)))</f>
        <v>2</v>
      </c>
      <c r="J144">
        <f ca="1">IF(OR($C144="S",$C144=0),0,MATCH(0,OFFSET($D144,1,$C144,ROW($C$165)-ROW($C144)),0))</f>
        <v>0</v>
      </c>
      <c r="K144">
        <f ca="1">IF(OR($C144="S",$C144=0),0,MATCH(OFFSET($D144,0,$C144)+IF($C144&lt;&gt;1,1,COUNTIF(QCI!$A$13:$A$24,ORÇAMENTO!E144)),OFFSET($D144,1,$C144,ROW($C$165)-ROW($C144)),0))</f>
        <v>0</v>
      </c>
      <c r="L144" s="116" t="str">
        <f ca="1">IF(OR($X144&gt;0,$C144=1,$C144=2,$C144=3,$C144=4),"F","")</f>
        <v>F</v>
      </c>
      <c r="M144" s="117" t="s">
        <v>199</v>
      </c>
      <c r="N144" s="118" t="str">
        <f ca="1">CHOOSE(1+LOG(1+2*(C144=1)+4*(C144=2)+8*(C144=3)+16*(C144=4)+32*(C144="S"),2),"","Meta","Nível 2","Nível 3","Nível 4","Serviço")</f>
        <v>Serviço</v>
      </c>
      <c r="O144" s="119" t="str">
        <f ca="1">IF(OR($C144=0,$L144=""),"-",CONCATENATE(E144&amp;".",IF(AND($A$5&gt;=2,$C144&gt;=2),F144&amp;".",""),IF(AND($A$5&gt;=3,$C144&gt;=3),G144&amp;".",""),IF(AND($A$5&gt;=4,$C144&gt;=4),H144&amp;".",""),IF($C144="S",I144&amp;".","")))</f>
        <v>8.3.2.</v>
      </c>
      <c r="P144" s="120" t="s">
        <v>449</v>
      </c>
      <c r="Q144" s="121" t="s">
        <v>535</v>
      </c>
      <c r="R144" s="122" t="str">
        <f ca="1">IF($C144="S",REFERENCIA.Descricao,"(digite a descrição aqui)")</f>
        <v>SOLEIRA/ PEITORIL EM MARMORE, POLIDO, BRANCO COMUM, L= *15* CM, E= *2* CM, CORTE RETO</v>
      </c>
      <c r="S144" s="123" t="str">
        <f ca="1">REFERENCIA.Unidade</f>
        <v>M</v>
      </c>
      <c r="T144" s="124">
        <f ca="1">OFFSET(CÁLCULO!H$15,ROW($T144)-ROW(T$15),0)</f>
        <v>11.4</v>
      </c>
      <c r="U144" s="125">
        <f t="shared" ca="1" si="120"/>
        <v>106.61</v>
      </c>
      <c r="V144" s="126" t="s">
        <v>156</v>
      </c>
      <c r="W144" s="124">
        <f ca="1">IF($C144="S",ROUND(IF(TIPOORCAMENTO="Proposto",ORÇAMENTO.CustoUnitario*(1+$AH144),ORÇAMENTO.PrecoUnitarioLicitado),15-13*$AF$10),0)</f>
        <v>128.31</v>
      </c>
      <c r="X144" s="127">
        <f ca="1">IF($C144="S",IF(Import.TipoArredondamento&lt;&gt;"TransfereGOV",VTOTAL1,SUM(OFFSET(CÁLCULO!$AA$15,ROW($X144)-ROW($X$15),1):OFFSET(CÁLCULO!$AL$15,ROW($X144)-ROW($X$15),-1))),IF($C144=0,0,ROUND(SomaAgrup,15-13*$AF$11)))</f>
        <v>1462.73</v>
      </c>
      <c r="Y144" s="128" t="s">
        <v>245</v>
      </c>
      <c r="Z144" t="str">
        <f ca="1">IF(AND($C144="S",$X144&gt;0),IF(ISBLANK($Y144),"RA",LEFT($Y144,2)),"")</f>
        <v>RA</v>
      </c>
      <c r="AA144" s="129">
        <f ca="1">IF($C144="S",IF($Z144="CP",$X144,IF($Z144="RA",(($X144)*QCI!$AA$3),0)),SomaAgrup)</f>
        <v>1462.73</v>
      </c>
      <c r="AB144" s="130">
        <f ca="1">IF($C144="S",IF($Z144="OU",ROUND($X144,2),0),SomaAgrup)</f>
        <v>0</v>
      </c>
      <c r="AC144" s="131" t="str">
        <f ca="1">IF($N144="","",IF(ORÇAMENTO.Descricao="","DESCRIÇÃO",IF(AND($C144="S",ORÇAMENTO.Unidade=""),"UNIDADE",IF($X144&lt;0,"VALOR NEGATIVO",IF(OR(AND(TIPOORCAMENTO="Proposto",$AG144&lt;&gt;"",$AG144&gt;0,ORÇAMENTO.CustoUnitario&gt;$AG144),AND(TIPOORCAMENTO="LICITADO",ORÇAMENTO.PrecoUnitarioLicitado&gt;$AN144)),"ACIMA REF.","")))))</f>
        <v/>
      </c>
      <c r="AD144" t="str">
        <f ca="1">IF(C144&lt;=CRONO.NivelExibicao,MAX($AD$15:OFFSET(AD144,-1,0))+IF($C144&lt;&gt;1,1,MAX(1,COUNTIF(QCI!$A$13:$A$24,OFFSET($E144,-1,0)))),"")</f>
        <v/>
      </c>
      <c r="AE144" s="7" t="str">
        <f ca="1">IF(AND($C144="S",ORÇAMENTO.CodBarra&lt;&gt;""),IF(ORÇAMENTO.Fonte="",ORÇAMENTO.CodBarra,CONCATENATE(ORÇAMENTO.Fonte," ",ORÇAMENTO.CodBarra)))</f>
        <v>SINAPI-I 4828</v>
      </c>
      <c r="AF144" s="13">
        <f ca="1">IF(ISERROR(INDIRECT(ORÇAMENTO.BancoRef)),"(abra o arquivo 'Referência "&amp;Excel_BuiltIn_Database&amp;".xlsm)",IF(OR($C144&lt;&gt;"S",ORÇAMENTO.CodBarra=""),"(Sem Código)",IF(ISERROR(MATCH($AE144,INDIRECT(ORÇAMENTO.BancoRef),0)),"(Código não identificado nas referências)",MATCH($AE144,INDIRECT(ORÇAMENTO.BancoRef),0))))</f>
        <v>3886</v>
      </c>
      <c r="AG144" s="498">
        <f ca="1">ROUND(IF(DESONERACAO="sim",REFERENCIA.Desonerado,REFERENCIA.NaoDesonerado),2)</f>
        <v>106.61</v>
      </c>
      <c r="AH144" s="499">
        <f ca="1">ROUND(IF(ISNUMBER(ORÇAMENTO.OpcaoBDI),ORÇAMENTO.OpcaoBDI,IF(LEFT(ORÇAMENTO.OpcaoBDI,3)="BDI",HLOOKUP(ORÇAMENTO.OpcaoBDI,$F$4:$H$5,2,FALSE),0)),15-11*$AF$9)</f>
        <v>0.20349999999999999</v>
      </c>
      <c r="AJ144" s="501">
        <v>11.4</v>
      </c>
      <c r="AL144" s="527"/>
      <c r="AM144" s="381">
        <f t="shared" ca="1" si="124"/>
        <v>1462.73</v>
      </c>
      <c r="AN144" s="566">
        <f ca="1">ROUND(ORÇAMENTO.CustoUnitario*(1+$AH144),2)</f>
        <v>128.31</v>
      </c>
    </row>
    <row r="145" spans="1:40" x14ac:dyDescent="0.2">
      <c r="A145">
        <f>CHOOSE(1+LOG(1+2*(ORÇAMENTO.Nivel="Meta")+4*(ORÇAMENTO.Nivel="Nível 2")+8*(ORÇAMENTO.Nivel="Nível 3")+16*(ORÇAMENTO.Nivel="Nível 4")+32*(ORÇAMENTO.Nivel="Serviço"),2),0,1,2,3,4,"S")</f>
        <v>1</v>
      </c>
      <c r="B145">
        <f ca="1">IF(OR(C145="s",C145=0),OFFSET(B145,-1,0),C145)</f>
        <v>1</v>
      </c>
      <c r="C145">
        <f ca="1">IF(OFFSET(C145,-1,0)="L",1,IF(OFFSET(C145,-1,0)=1,2,IF(OR(A145="s",A145=0),"S",IF(AND(OFFSET(C145,-1,0)=2,A145=4),3,IF(AND(OR(OFFSET(C145,-1,0)="s",OFFSET(C145,-1,0)=0),A145&lt;&gt;"s",A145&gt;OFFSET(B145,-1,0)),OFFSET(B145,-1,0),A145)))))</f>
        <v>1</v>
      </c>
      <c r="D145">
        <f ca="1">IF(OR(C145="S",C145=0),0,IF(ISERROR(K145),J145,SMALL(J145:K145,1)))</f>
        <v>5</v>
      </c>
      <c r="E145">
        <f ca="1">IF($C145=1,OFFSET(E145,-1,0)+MAX(1,COUNTIF(QCI!$A$13:$A$24,OFFSET(ORÇAMENTO!E145,-1,0))),OFFSET(E145,-1,0))</f>
        <v>9</v>
      </c>
      <c r="F145">
        <f ca="1">IF($C145=1,0,IF($C145=2,OFFSET(F145,-1,0)+1,OFFSET(F145,-1,0)))</f>
        <v>0</v>
      </c>
      <c r="G145">
        <f ca="1">IF(AND($C145&lt;=2,$C145&lt;&gt;0),0,IF($C145=3,OFFSET(G145,-1,0)+1,OFFSET(G145,-1,0)))</f>
        <v>0</v>
      </c>
      <c r="H145">
        <f ca="1">IF(AND($C145&lt;=3,$C145&lt;&gt;0),0,IF($C145=4,OFFSET(H145,-1,0)+1,OFFSET(H145,-1,0)))</f>
        <v>0</v>
      </c>
      <c r="I145">
        <f ca="1">IF(AND($C145&lt;=4,$C145&lt;&gt;0),0,IF(AND($C145="S",$X145&gt;0),OFFSET(I145,-1,0)+1,OFFSET(I145,-1,0)))</f>
        <v>0</v>
      </c>
      <c r="J145">
        <f ca="1">IF(OR($C145="S",$C145=0),0,MATCH(0,OFFSET($D145,1,$C145,ROW($C$165)-ROW($C145)),0))</f>
        <v>20</v>
      </c>
      <c r="K145">
        <f ca="1">IF(OR($C145="S",$C145=0),0,MATCH(OFFSET($D145,0,$C145)+IF($C145&lt;&gt;1,1,COUNTIF(QCI!$A$13:$A$24,ORÇAMENTO!E145)),OFFSET($D145,1,$C145,ROW($C$165)-ROW($C145)),0))</f>
        <v>5</v>
      </c>
      <c r="L145" s="116" t="str">
        <f ca="1">IF(OR($X145&gt;0,$C145=1,$C145=2,$C145=3,$C145=4),"F","")</f>
        <v>F</v>
      </c>
      <c r="M145" s="117" t="s">
        <v>195</v>
      </c>
      <c r="N145" s="118" t="str">
        <f ca="1">CHOOSE(1+LOG(1+2*(C145=1)+4*(C145=2)+8*(C145=3)+16*(C145=4)+32*(C145="S"),2),"","Meta","Nível 2","Nível 3","Nível 4","Serviço")</f>
        <v>Meta</v>
      </c>
      <c r="O145" s="119" t="str">
        <f ca="1">IF(OR($C145=0,$L145=""),"-",CONCATENATE(E145&amp;".",IF(AND($A$5&gt;=2,$C145&gt;=2),F145&amp;".",""),IF(AND($A$5&gt;=3,$C145&gt;=3),G145&amp;".",""),IF(AND($A$5&gt;=4,$C145&gt;=4),H145&amp;".",""),IF($C145="S",I145&amp;".","")))</f>
        <v>9.</v>
      </c>
      <c r="P145" s="120" t="s">
        <v>247</v>
      </c>
      <c r="Q145" s="121"/>
      <c r="R145" s="122" t="s">
        <v>585</v>
      </c>
      <c r="S145" s="123" t="str">
        <f ca="1">REFERENCIA.Unidade</f>
        <v>-</v>
      </c>
      <c r="T145" s="124">
        <f ca="1">OFFSET(CÁLCULO!H$15,ROW($T145)-ROW(T$15),0)</f>
        <v>0</v>
      </c>
      <c r="U145" s="125"/>
      <c r="V145" s="126" t="s">
        <v>156</v>
      </c>
      <c r="W145" s="124">
        <f ca="1">IF($C145="S",ROUND(IF(TIPOORCAMENTO="Proposto",ORÇAMENTO.CustoUnitario*(1+$AH145),ORÇAMENTO.PrecoUnitarioLicitado),15-13*$AF$10),0)</f>
        <v>0</v>
      </c>
      <c r="X145" s="127">
        <f ca="1">IF($C145="S",IF(Import.TipoArredondamento&lt;&gt;"TransfereGOV",VTOTAL1,SUM(OFFSET(CÁLCULO!$AA$15,ROW($X145)-ROW($X$15),1):OFFSET(CÁLCULO!$AL$15,ROW($X145)-ROW($X$15),-1))),IF($C145=0,0,ROUND(SomaAgrup,15-13*$AF$11)))</f>
        <v>651.79999999999995</v>
      </c>
      <c r="Y145" s="128" t="s">
        <v>245</v>
      </c>
      <c r="Z145" t="str">
        <f ca="1">IF(AND($C145="S",$X145&gt;0),IF(ISBLANK($Y145),"RA",LEFT($Y145,2)),"")</f>
        <v/>
      </c>
      <c r="AA145" s="129">
        <f ca="1">IF($C145="S",IF($Z145="CP",$X145,IF($Z145="RA",(($X145)*QCI!$AA$3),0)),SomaAgrup)</f>
        <v>651.80000000000007</v>
      </c>
      <c r="AB145" s="130">
        <f ca="1">IF($C145="S",IF($Z145="OU",ROUND($X145,2),0),SomaAgrup)</f>
        <v>0</v>
      </c>
      <c r="AC145" s="131" t="str">
        <f ca="1">IF($N145="","",IF(ORÇAMENTO.Descricao="","DESCRIÇÃO",IF(AND($C145="S",ORÇAMENTO.Unidade=""),"UNIDADE",IF($X145&lt;0,"VALOR NEGATIVO",IF(OR(AND(TIPOORCAMENTO="Proposto",$AG145&lt;&gt;"",$AG145&gt;0,ORÇAMENTO.CustoUnitario&gt;$AG145),AND(TIPOORCAMENTO="LICITADO",ORÇAMENTO.PrecoUnitarioLicitado&gt;$AN145)),"ACIMA REF.","")))))</f>
        <v/>
      </c>
      <c r="AD145">
        <f ca="1">IF(C145&lt;=CRONO.NivelExibicao,MAX($AD$15:OFFSET(AD145,-1,0))+IF($C145&lt;&gt;1,1,MAX(1,COUNTIF(QCI!$A$13:$A$24,OFFSET($E145,-1,0)))),"")</f>
        <v>28</v>
      </c>
      <c r="AE145" s="7" t="b">
        <f ca="1">IF(AND($C145="S",ORÇAMENTO.CodBarra&lt;&gt;""),IF(ORÇAMENTO.Fonte="",ORÇAMENTO.CodBarra,CONCATENATE(ORÇAMENTO.Fonte," ",ORÇAMENTO.CodBarra)))</f>
        <v>0</v>
      </c>
      <c r="AF145" s="13" t="str">
        <f ca="1">IF(ISERROR(INDIRECT(ORÇAMENTO.BancoRef)),"(abra o arquivo 'Referência "&amp;Excel_BuiltIn_Database&amp;".xlsm)",IF(OR($C145&lt;&gt;"S",ORÇAMENTO.CodBarra=""),"(Sem Código)",IF(ISERROR(MATCH($AE145,INDIRECT(ORÇAMENTO.BancoRef),0)),"(Código não identificado nas referências)",MATCH($AE145,INDIRECT(ORÇAMENTO.BancoRef),0))))</f>
        <v>(Sem Código)</v>
      </c>
      <c r="AG145" s="498">
        <f ca="1">ROUND(IF(DESONERACAO="sim",REFERENCIA.Desonerado,REFERENCIA.NaoDesonerado),2)</f>
        <v>0</v>
      </c>
      <c r="AH145" s="499">
        <f ca="1">ROUND(IF(ISNUMBER(ORÇAMENTO.OpcaoBDI),ORÇAMENTO.OpcaoBDI,IF(LEFT(ORÇAMENTO.OpcaoBDI,3)="BDI",HLOOKUP(ORÇAMENTO.OpcaoBDI,$F$4:$H$5,2,FALSE),0)),15-11*$AF$9)</f>
        <v>0.20349999999999999</v>
      </c>
      <c r="AJ145" s="501"/>
      <c r="AL145" s="527"/>
      <c r="AM145" s="381">
        <f t="shared" ca="1" si="124"/>
        <v>651.79999999999995</v>
      </c>
      <c r="AN145" s="566">
        <f ca="1">ROUND(ORÇAMENTO.CustoUnitario*(1+$AH145),2)</f>
        <v>0</v>
      </c>
    </row>
    <row r="146" spans="1:40" x14ac:dyDescent="0.2">
      <c r="A146">
        <f t="shared" si="126"/>
        <v>2</v>
      </c>
      <c r="B146">
        <f t="shared" ca="1" si="130"/>
        <v>2</v>
      </c>
      <c r="C146">
        <f t="shared" ca="1" si="131"/>
        <v>2</v>
      </c>
      <c r="D146">
        <f t="shared" ca="1" si="132"/>
        <v>4</v>
      </c>
      <c r="E146">
        <f ca="1">IF($C146=1,OFFSET(E146,-1,0)+MAX(1,COUNTIF(QCI!$A$13:$A$24,OFFSET(ORÇAMENTO!E146,-1,0))),OFFSET(E146,-1,0))</f>
        <v>9</v>
      </c>
      <c r="F146">
        <f t="shared" ca="1" si="133"/>
        <v>1</v>
      </c>
      <c r="G146">
        <f t="shared" ca="1" si="134"/>
        <v>0</v>
      </c>
      <c r="H146">
        <f t="shared" ca="1" si="135"/>
        <v>0</v>
      </c>
      <c r="I146">
        <f t="shared" ca="1" si="136"/>
        <v>0</v>
      </c>
      <c r="J146">
        <f ca="1">IF(OR($C146="S",$C146=0),0,MATCH(0,OFFSET($D146,1,$C146,ROW($C$165)-ROW($C146)),0))</f>
        <v>4</v>
      </c>
      <c r="K146">
        <f ca="1">IF(OR($C146="S",$C146=0),0,MATCH(OFFSET($D146,0,$C146)+IF($C146&lt;&gt;1,1,COUNTIF(QCI!$A$13:$A$24,ORÇAMENTO!E146)),OFFSET($D146,1,$C146,ROW($C$165)-ROW($C146)),0))</f>
        <v>10</v>
      </c>
      <c r="L146" s="116" t="str">
        <f t="shared" ca="1" si="137"/>
        <v>F</v>
      </c>
      <c r="M146" s="117" t="s">
        <v>196</v>
      </c>
      <c r="N146" s="118" t="str">
        <f t="shared" ca="1" si="138"/>
        <v>Nível 2</v>
      </c>
      <c r="O146" s="119" t="str">
        <f t="shared" ca="1" si="139"/>
        <v>9.1.</v>
      </c>
      <c r="P146" s="120" t="s">
        <v>247</v>
      </c>
      <c r="Q146" s="121"/>
      <c r="R146" s="122" t="s">
        <v>481</v>
      </c>
      <c r="S146" s="123" t="str">
        <f ca="1">REFERENCIA.Unidade</f>
        <v>-</v>
      </c>
      <c r="T146" s="124">
        <f ca="1">OFFSET(CÁLCULO!H$15,ROW($T146)-ROW(T$15),0)</f>
        <v>0</v>
      </c>
      <c r="U146" s="125">
        <f t="shared" ca="1" si="120"/>
        <v>0</v>
      </c>
      <c r="V146" s="126" t="s">
        <v>156</v>
      </c>
      <c r="W146" s="124">
        <f ca="1">IF($C146="S",ROUND(IF(TIPOORCAMENTO="Proposto",ORÇAMENTO.CustoUnitario*(1+$AH146),ORÇAMENTO.PrecoUnitarioLicitado),15-13*$AF$10),0)</f>
        <v>0</v>
      </c>
      <c r="X146" s="127">
        <f ca="1">IF($C146="S",IF(Import.TipoArredondamento&lt;&gt;"TransfereGOV",VTOTAL1,SUM(OFFSET(CÁLCULO!$AA$15,ROW($X146)-ROW($X$15),1):OFFSET(CÁLCULO!$AL$15,ROW($X146)-ROW($X$15),-1))),IF($C146=0,0,ROUND(SomaAgrup,15-13*$AF$11)))</f>
        <v>651.79999999999995</v>
      </c>
      <c r="Y146" s="128" t="s">
        <v>245</v>
      </c>
      <c r="Z146" t="str">
        <f t="shared" ca="1" si="140"/>
        <v/>
      </c>
      <c r="AA146" s="129">
        <f ca="1">IF($C146="S",IF($Z146="CP",$X146,IF($Z146="RA",(($X146)*QCI!$AA$3),0)),SomaAgrup)</f>
        <v>651.80000000000007</v>
      </c>
      <c r="AB146" s="130">
        <f t="shared" ca="1" si="127"/>
        <v>0</v>
      </c>
      <c r="AC146" s="131" t="str">
        <f ca="1">IF($N146="","",IF(ORÇAMENTO.Descricao="","DESCRIÇÃO",IF(AND($C146="S",ORÇAMENTO.Unidade=""),"UNIDADE",IF($X146&lt;0,"VALOR NEGATIVO",IF(OR(AND(TIPOORCAMENTO="Proposto",$AG146&lt;&gt;"",$AG146&gt;0,ORÇAMENTO.CustoUnitario&gt;$AG146),AND(TIPOORCAMENTO="LICITADO",ORÇAMENTO.PrecoUnitarioLicitado&gt;$AN146)),"ACIMA REF.","")))))</f>
        <v/>
      </c>
      <c r="AD146">
        <f ca="1">IF(C146&lt;=CRONO.NivelExibicao,MAX($AD$15:OFFSET(AD146,-1,0))+IF($C146&lt;&gt;1,1,MAX(1,COUNTIF(QCI!$A$13:$A$24,OFFSET($E146,-1,0)))),"")</f>
        <v>29</v>
      </c>
      <c r="AE146" s="7" t="b">
        <f ca="1">IF(AND($C146="S",ORÇAMENTO.CodBarra&lt;&gt;""),IF(ORÇAMENTO.Fonte="",ORÇAMENTO.CodBarra,CONCATENATE(ORÇAMENTO.Fonte," ",ORÇAMENTO.CodBarra)))</f>
        <v>0</v>
      </c>
      <c r="AF146" s="13" t="str">
        <f ca="1">IF(ISERROR(INDIRECT(ORÇAMENTO.BancoRef)),"(abra o arquivo 'Referência "&amp;Excel_BuiltIn_Database&amp;".xlsm)",IF(OR($C146&lt;&gt;"S",ORÇAMENTO.CodBarra=""),"(Sem Código)",IF(ISERROR(MATCH($AE146,INDIRECT(ORÇAMENTO.BancoRef),0)),"(Código não identificado nas referências)",MATCH($AE146,INDIRECT(ORÇAMENTO.BancoRef),0))))</f>
        <v>(Sem Código)</v>
      </c>
      <c r="AG146" s="498">
        <f ca="1">ROUND(IF(DESONERACAO="sim",REFERENCIA.Desonerado,REFERENCIA.NaoDesonerado),2)</f>
        <v>0</v>
      </c>
      <c r="AH146" s="499">
        <f t="shared" ca="1" si="128"/>
        <v>0.20349999999999999</v>
      </c>
      <c r="AJ146" s="501"/>
      <c r="AL146" s="527"/>
      <c r="AM146" s="381">
        <f t="shared" ca="1" si="124"/>
        <v>651.79999999999995</v>
      </c>
      <c r="AN146" s="566">
        <f t="shared" ca="1" si="129"/>
        <v>0</v>
      </c>
    </row>
    <row r="147" spans="1:40" ht="51" x14ac:dyDescent="0.2">
      <c r="A147" t="str">
        <f t="shared" si="126"/>
        <v>S</v>
      </c>
      <c r="B147">
        <f t="shared" ca="1" si="130"/>
        <v>2</v>
      </c>
      <c r="C147" t="str">
        <f t="shared" ca="1" si="131"/>
        <v>S</v>
      </c>
      <c r="D147">
        <f t="shared" ca="1" si="132"/>
        <v>0</v>
      </c>
      <c r="E147">
        <f ca="1">IF($C147=1,OFFSET(E147,-1,0)+MAX(1,COUNTIF(QCI!$A$13:$A$24,OFFSET(ORÇAMENTO!E147,-1,0))),OFFSET(E147,-1,0))</f>
        <v>9</v>
      </c>
      <c r="F147">
        <f t="shared" ca="1" si="133"/>
        <v>1</v>
      </c>
      <c r="G147">
        <f t="shared" ca="1" si="134"/>
        <v>0</v>
      </c>
      <c r="H147">
        <f t="shared" ca="1" si="135"/>
        <v>0</v>
      </c>
      <c r="I147">
        <f t="shared" ca="1" si="136"/>
        <v>1</v>
      </c>
      <c r="J147">
        <f ca="1">IF(OR($C147="S",$C147=0),0,MATCH(0,OFFSET($D147,1,$C147,ROW($C$165)-ROW($C147)),0))</f>
        <v>0</v>
      </c>
      <c r="K147">
        <f ca="1">IF(OR($C147="S",$C147=0),0,MATCH(OFFSET($D147,0,$C147)+IF($C147&lt;&gt;1,1,COUNTIF(QCI!$A$13:$A$24,ORÇAMENTO!E147)),OFFSET($D147,1,$C147,ROW($C$165)-ROW($C147)),0))</f>
        <v>0</v>
      </c>
      <c r="L147" s="116" t="str">
        <f t="shared" ca="1" si="137"/>
        <v>F</v>
      </c>
      <c r="M147" s="117" t="s">
        <v>199</v>
      </c>
      <c r="N147" s="118" t="str">
        <f t="shared" ca="1" si="138"/>
        <v>Serviço</v>
      </c>
      <c r="O147" s="119" t="str">
        <f t="shared" ca="1" si="139"/>
        <v>9.1.1.</v>
      </c>
      <c r="P147" s="120" t="s">
        <v>449</v>
      </c>
      <c r="Q147" s="121" t="s">
        <v>509</v>
      </c>
      <c r="R147" s="122" t="str">
        <f ca="1">IF($C147="S",REFERENCIA.Descricao,"(digite a descrição aqui)")</f>
        <v>PLACA DE SINALIZACAO DE SEGURANCA CONTRA INCENDIO, FOTOLUMINESCENTE, RETANGULAR, *13 X 26* CM, EM PVC *2* MM ANTI-CHAMAS (SIMBOLOS, CORES E PICTOGRAMAS CONFORME NBR 16820)</v>
      </c>
      <c r="S147" s="123" t="str">
        <f ca="1">REFERENCIA.Unidade</f>
        <v>UN</v>
      </c>
      <c r="T147" s="124">
        <f ca="1">OFFSET(CÁLCULO!H$15,ROW($T147)-ROW(T$15),0)</f>
        <v>4</v>
      </c>
      <c r="U147" s="125">
        <f t="shared" ca="1" si="120"/>
        <v>20</v>
      </c>
      <c r="V147" s="126" t="s">
        <v>156</v>
      </c>
      <c r="W147" s="124">
        <f ca="1">IF($C147="S",ROUND(IF(TIPOORCAMENTO="Proposto",ORÇAMENTO.CustoUnitario*(1+$AH147),ORÇAMENTO.PrecoUnitarioLicitado),15-13*$AF$10),0)</f>
        <v>24.07</v>
      </c>
      <c r="X147" s="127">
        <f ca="1">IF($C147="S",IF(Import.TipoArredondamento&lt;&gt;"TransfereGOV",VTOTAL1,SUM(OFFSET(CÁLCULO!$AA$15,ROW($X147)-ROW($X$15),1):OFFSET(CÁLCULO!$AL$15,ROW($X147)-ROW($X$15),-1))),IF($C147=0,0,ROUND(SomaAgrup,15-13*$AF$11)))</f>
        <v>96.28</v>
      </c>
      <c r="Y147" s="128" t="s">
        <v>245</v>
      </c>
      <c r="Z147" t="str">
        <f t="shared" ca="1" si="140"/>
        <v>RA</v>
      </c>
      <c r="AA147" s="129">
        <f ca="1">IF($C147="S",IF($Z147="CP",$X147,IF($Z147="RA",(($X147)*QCI!$AA$3),0)),SomaAgrup)</f>
        <v>96.28</v>
      </c>
      <c r="AB147" s="130">
        <f t="shared" ca="1" si="127"/>
        <v>0</v>
      </c>
      <c r="AC147" s="131" t="str">
        <f ca="1">IF($N147="","",IF(ORÇAMENTO.Descricao="","DESCRIÇÃO",IF(AND($C147="S",ORÇAMENTO.Unidade=""),"UNIDADE",IF($X147&lt;0,"VALOR NEGATIVO",IF(OR(AND(TIPOORCAMENTO="Proposto",$AG147&lt;&gt;"",$AG147&gt;0,ORÇAMENTO.CustoUnitario&gt;$AG147),AND(TIPOORCAMENTO="LICITADO",ORÇAMENTO.PrecoUnitarioLicitado&gt;$AN147)),"ACIMA REF.","")))))</f>
        <v/>
      </c>
      <c r="AD147" t="str">
        <f ca="1">IF(C147&lt;=CRONO.NivelExibicao,MAX($AD$15:OFFSET(AD147,-1,0))+IF($C147&lt;&gt;1,1,MAX(1,COUNTIF(QCI!$A$13:$A$24,OFFSET($E147,-1,0)))),"")</f>
        <v/>
      </c>
      <c r="AE147" s="7" t="str">
        <f ca="1">IF(AND($C147="S",ORÇAMENTO.CodBarra&lt;&gt;""),IF(ORÇAMENTO.Fonte="",ORÇAMENTO.CodBarra,CONCATENATE(ORÇAMENTO.Fonte," ",ORÇAMENTO.CodBarra)))</f>
        <v>SINAPI-I 37539</v>
      </c>
      <c r="AF147" s="13">
        <f ca="1">IF(ISERROR(INDIRECT(ORÇAMENTO.BancoRef)),"(abra o arquivo 'Referência "&amp;Excel_BuiltIn_Database&amp;".xlsm)",IF(OR($C147&lt;&gt;"S",ORÇAMENTO.CodBarra=""),"(Sem Código)",IF(ISERROR(MATCH($AE147,INDIRECT(ORÇAMENTO.BancoRef),0)),"(Código não identificado nas referências)",MATCH($AE147,INDIRECT(ORÇAMENTO.BancoRef),0))))</f>
        <v>3423</v>
      </c>
      <c r="AG147" s="498">
        <f ca="1">ROUND(IF(DESONERACAO="sim",REFERENCIA.Desonerado,REFERENCIA.NaoDesonerado),2)</f>
        <v>20</v>
      </c>
      <c r="AH147" s="499">
        <f t="shared" ca="1" si="128"/>
        <v>0.20349999999999999</v>
      </c>
      <c r="AJ147" s="501">
        <v>4</v>
      </c>
      <c r="AL147" s="527"/>
      <c r="AM147" s="381">
        <f t="shared" ca="1" si="124"/>
        <v>96.28</v>
      </c>
      <c r="AN147" s="566">
        <f t="shared" ca="1" si="129"/>
        <v>24.07</v>
      </c>
    </row>
    <row r="148" spans="1:40" ht="25.5" x14ac:dyDescent="0.2">
      <c r="A148" t="str">
        <f t="shared" si="126"/>
        <v>S</v>
      </c>
      <c r="B148">
        <f t="shared" ca="1" si="130"/>
        <v>2</v>
      </c>
      <c r="C148" t="str">
        <f t="shared" ca="1" si="131"/>
        <v>S</v>
      </c>
      <c r="D148">
        <f t="shared" ca="1" si="132"/>
        <v>0</v>
      </c>
      <c r="E148">
        <f ca="1">IF($C148=1,OFFSET(E148,-1,0)+MAX(1,COUNTIF(QCI!$A$13:$A$24,OFFSET(ORÇAMENTO!E148,-1,0))),OFFSET(E148,-1,0))</f>
        <v>9</v>
      </c>
      <c r="F148">
        <f t="shared" ca="1" si="133"/>
        <v>1</v>
      </c>
      <c r="G148">
        <f t="shared" ca="1" si="134"/>
        <v>0</v>
      </c>
      <c r="H148">
        <f t="shared" ca="1" si="135"/>
        <v>0</v>
      </c>
      <c r="I148">
        <f t="shared" ca="1" si="136"/>
        <v>2</v>
      </c>
      <c r="J148">
        <f ca="1">IF(OR($C148="S",$C148=0),0,MATCH(0,OFFSET($D148,1,$C148,ROW($C$165)-ROW($C148)),0))</f>
        <v>0</v>
      </c>
      <c r="K148">
        <f ca="1">IF(OR($C148="S",$C148=0),0,MATCH(OFFSET($D148,0,$C148)+IF($C148&lt;&gt;1,1,COUNTIF(QCI!$A$13:$A$24,ORÇAMENTO!E148)),OFFSET($D148,1,$C148,ROW($C$165)-ROW($C148)),0))</f>
        <v>0</v>
      </c>
      <c r="L148" s="116" t="str">
        <f t="shared" ca="1" si="137"/>
        <v>F</v>
      </c>
      <c r="M148" s="117" t="s">
        <v>199</v>
      </c>
      <c r="N148" s="118" t="str">
        <f t="shared" ca="1" si="138"/>
        <v>Serviço</v>
      </c>
      <c r="O148" s="119" t="str">
        <f t="shared" ca="1" si="139"/>
        <v>9.1.2.</v>
      </c>
      <c r="P148" s="120" t="s">
        <v>449</v>
      </c>
      <c r="Q148" s="121" t="s">
        <v>525</v>
      </c>
      <c r="R148" s="122" t="str">
        <f ca="1">IF($C148="S",REFERENCIA.Descricao,"(digite a descrição aqui)")</f>
        <v>EXTINTOR DE INCENDIO PORTATIL COM CARGA DE PO QUIMICO SECO (PQS) DE 4 KG, CLASSE BC</v>
      </c>
      <c r="S148" s="123" t="str">
        <f ca="1">REFERENCIA.Unidade</f>
        <v>UN</v>
      </c>
      <c r="T148" s="124">
        <f ca="1">OFFSET(CÁLCULO!H$15,ROW($T148)-ROW(T$15),0)</f>
        <v>2</v>
      </c>
      <c r="U148" s="125">
        <f t="shared" ca="1" si="120"/>
        <v>191.23</v>
      </c>
      <c r="V148" s="126" t="s">
        <v>156</v>
      </c>
      <c r="W148" s="124">
        <f ca="1">IF($C148="S",ROUND(IF(TIPOORCAMENTO="Proposto",ORÇAMENTO.CustoUnitario*(1+$AH148),ORÇAMENTO.PrecoUnitarioLicitado),15-13*$AF$10),0)</f>
        <v>230.15</v>
      </c>
      <c r="X148" s="127">
        <f ca="1">IF($C148="S",IF(Import.TipoArredondamento&lt;&gt;"TransfereGOV",VTOTAL1,SUM(OFFSET(CÁLCULO!$AA$15,ROW($X148)-ROW($X$15),1):OFFSET(CÁLCULO!$AL$15,ROW($X148)-ROW($X$15),-1))),IF($C148=0,0,ROUND(SomaAgrup,15-13*$AF$11)))</f>
        <v>460.3</v>
      </c>
      <c r="Y148" s="128" t="s">
        <v>245</v>
      </c>
      <c r="Z148" t="str">
        <f t="shared" ca="1" si="140"/>
        <v>RA</v>
      </c>
      <c r="AA148" s="129">
        <f ca="1">IF($C148="S",IF($Z148="CP",$X148,IF($Z148="RA",(($X148)*QCI!$AA$3),0)),SomaAgrup)</f>
        <v>460.3</v>
      </c>
      <c r="AB148" s="130">
        <f t="shared" ca="1" si="127"/>
        <v>0</v>
      </c>
      <c r="AC148" s="131" t="str">
        <f ca="1">IF($N148="","",IF(ORÇAMENTO.Descricao="","DESCRIÇÃO",IF(AND($C148="S",ORÇAMENTO.Unidade=""),"UNIDADE",IF($X148&lt;0,"VALOR NEGATIVO",IF(OR(AND(TIPOORCAMENTO="Proposto",$AG148&lt;&gt;"",$AG148&gt;0,ORÇAMENTO.CustoUnitario&gt;$AG148),AND(TIPOORCAMENTO="LICITADO",ORÇAMENTO.PrecoUnitarioLicitado&gt;$AN148)),"ACIMA REF.","")))))</f>
        <v/>
      </c>
      <c r="AD148" t="str">
        <f ca="1">IF(C148&lt;=CRONO.NivelExibicao,MAX($AD$15:OFFSET(AD148,-1,0))+IF($C148&lt;&gt;1,1,MAX(1,COUNTIF(QCI!$A$13:$A$24,OFFSET($E148,-1,0)))),"")</f>
        <v/>
      </c>
      <c r="AE148" s="7" t="str">
        <f ca="1">IF(AND($C148="S",ORÇAMENTO.CodBarra&lt;&gt;""),IF(ORÇAMENTO.Fonte="",ORÇAMENTO.CodBarra,CONCATENATE(ORÇAMENTO.Fonte," ",ORÇAMENTO.CodBarra)))</f>
        <v>SINAPI-I 10891</v>
      </c>
      <c r="AF148" s="13">
        <f ca="1">IF(ISERROR(INDIRECT(ORÇAMENTO.BancoRef)),"(abra o arquivo 'Referência "&amp;Excel_BuiltIn_Database&amp;".xlsm)",IF(OR($C148&lt;&gt;"S",ORÇAMENTO.CodBarra=""),"(Sem Código)",IF(ISERROR(MATCH($AE148,INDIRECT(ORÇAMENTO.BancoRef),0)),"(Código não identificado nas referências)",MATCH($AE148,INDIRECT(ORÇAMENTO.BancoRef),0))))</f>
        <v>2017</v>
      </c>
      <c r="AG148" s="498">
        <f ca="1">ROUND(IF(DESONERACAO="sim",REFERENCIA.Desonerado,REFERENCIA.NaoDesonerado),2)</f>
        <v>191.23</v>
      </c>
      <c r="AH148" s="499">
        <f t="shared" ca="1" si="128"/>
        <v>0.20349999999999999</v>
      </c>
      <c r="AJ148" s="501">
        <v>2</v>
      </c>
      <c r="AL148" s="527"/>
      <c r="AM148" s="381">
        <f t="shared" ca="1" si="124"/>
        <v>460.3</v>
      </c>
      <c r="AN148" s="566">
        <f t="shared" ca="1" si="129"/>
        <v>230.15</v>
      </c>
    </row>
    <row r="149" spans="1:40" ht="25.5" x14ac:dyDescent="0.2">
      <c r="A149" t="str">
        <f t="shared" si="126"/>
        <v>S</v>
      </c>
      <c r="B149">
        <f t="shared" ca="1" si="130"/>
        <v>2</v>
      </c>
      <c r="C149" t="str">
        <f t="shared" ca="1" si="131"/>
        <v>S</v>
      </c>
      <c r="D149">
        <f t="shared" ca="1" si="132"/>
        <v>0</v>
      </c>
      <c r="E149">
        <f ca="1">IF($C149=1,OFFSET(E149,-1,0)+MAX(1,COUNTIF(QCI!$A$13:$A$24,OFFSET(ORÇAMENTO!E149,-1,0))),OFFSET(E149,-1,0))</f>
        <v>9</v>
      </c>
      <c r="F149">
        <f t="shared" ca="1" si="133"/>
        <v>1</v>
      </c>
      <c r="G149">
        <f t="shared" ca="1" si="134"/>
        <v>0</v>
      </c>
      <c r="H149">
        <f t="shared" ca="1" si="135"/>
        <v>0</v>
      </c>
      <c r="I149">
        <f t="shared" ca="1" si="136"/>
        <v>3</v>
      </c>
      <c r="J149">
        <f ca="1">IF(OR($C149="S",$C149=0),0,MATCH(0,OFFSET($D149,1,$C149,ROW($C$165)-ROW($C149)),0))</f>
        <v>0</v>
      </c>
      <c r="K149">
        <f ca="1">IF(OR($C149="S",$C149=0),0,MATCH(OFFSET($D149,0,$C149)+IF($C149&lt;&gt;1,1,COUNTIF(QCI!$A$13:$A$24,ORÇAMENTO!E149)),OFFSET($D149,1,$C149,ROW($C$165)-ROW($C149)),0))</f>
        <v>0</v>
      </c>
      <c r="L149" s="116" t="str">
        <f t="shared" ca="1" si="137"/>
        <v>F</v>
      </c>
      <c r="M149" s="117" t="s">
        <v>199</v>
      </c>
      <c r="N149" s="118" t="str">
        <f t="shared" ca="1" si="138"/>
        <v>Serviço</v>
      </c>
      <c r="O149" s="119" t="str">
        <f t="shared" ca="1" si="139"/>
        <v>9.1.3.</v>
      </c>
      <c r="P149" s="120" t="s">
        <v>449</v>
      </c>
      <c r="Q149" s="121" t="s">
        <v>510</v>
      </c>
      <c r="R149" s="122" t="str">
        <f ca="1">IF($C149="S",REFERENCIA.Descricao,"(digite a descrição aqui)")</f>
        <v>LUMINARIA DE EMERGENCIA 30 LEDS, POTENCIA 2 W, BATERIA DE LITIO, AUTONOMIA DE 6 HORAS</v>
      </c>
      <c r="S149" s="123" t="str">
        <f ca="1">REFERENCIA.Unidade</f>
        <v>UN</v>
      </c>
      <c r="T149" s="124">
        <f ca="1">OFFSET(CÁLCULO!H$15,ROW($T149)-ROW(T$15),0)</f>
        <v>6</v>
      </c>
      <c r="U149" s="125">
        <f t="shared" ca="1" si="120"/>
        <v>13.19</v>
      </c>
      <c r="V149" s="126" t="s">
        <v>156</v>
      </c>
      <c r="W149" s="124">
        <f ca="1">IF($C149="S",ROUND(IF(TIPOORCAMENTO="Proposto",ORÇAMENTO.CustoUnitario*(1+$AH149),ORÇAMENTO.PrecoUnitarioLicitado),15-13*$AF$10),0)</f>
        <v>15.87</v>
      </c>
      <c r="X149" s="127">
        <f ca="1">IF($C149="S",IF(Import.TipoArredondamento&lt;&gt;"TransfereGOV",VTOTAL1,SUM(OFFSET(CÁLCULO!$AA$15,ROW($X149)-ROW($X$15),1):OFFSET(CÁLCULO!$AL$15,ROW($X149)-ROW($X$15),-1))),IF($C149=0,0,ROUND(SomaAgrup,15-13*$AF$11)))</f>
        <v>95.22</v>
      </c>
      <c r="Y149" s="128" t="s">
        <v>245</v>
      </c>
      <c r="Z149" t="str">
        <f t="shared" ca="1" si="140"/>
        <v>RA</v>
      </c>
      <c r="AA149" s="129">
        <f ca="1">IF($C149="S",IF($Z149="CP",$X149,IF($Z149="RA",(($X149)*QCI!$AA$3),0)),SomaAgrup)</f>
        <v>95.22</v>
      </c>
      <c r="AB149" s="130">
        <f t="shared" ca="1" si="127"/>
        <v>0</v>
      </c>
      <c r="AC149" s="131" t="str">
        <f ca="1">IF($N149="","",IF(ORÇAMENTO.Descricao="","DESCRIÇÃO",IF(AND($C149="S",ORÇAMENTO.Unidade=""),"UNIDADE",IF($X149&lt;0,"VALOR NEGATIVO",IF(OR(AND(TIPOORCAMENTO="Proposto",$AG149&lt;&gt;"",$AG149&gt;0,ORÇAMENTO.CustoUnitario&gt;$AG149),AND(TIPOORCAMENTO="LICITADO",ORÇAMENTO.PrecoUnitarioLicitado&gt;$AN149)),"ACIMA REF.","")))))</f>
        <v/>
      </c>
      <c r="AD149" t="str">
        <f ca="1">IF(C149&lt;=CRONO.NivelExibicao,MAX($AD$15:OFFSET(AD149,-1,0))+IF($C149&lt;&gt;1,1,MAX(1,COUNTIF(QCI!$A$13:$A$24,OFFSET($E149,-1,0)))),"")</f>
        <v/>
      </c>
      <c r="AE149" s="7" t="str">
        <f ca="1">IF(AND($C149="S",ORÇAMENTO.CodBarra&lt;&gt;""),IF(ORÇAMENTO.Fonte="",ORÇAMENTO.CodBarra,CONCATENATE(ORÇAMENTO.Fonte," ",ORÇAMENTO.CodBarra)))</f>
        <v>SINAPI-I 38774</v>
      </c>
      <c r="AF149" s="13">
        <f ca="1">IF(ISERROR(INDIRECT(ORÇAMENTO.BancoRef)),"(abra o arquivo 'Referência "&amp;Excel_BuiltIn_Database&amp;".xlsm)",IF(OR($C149&lt;&gt;"S",ORÇAMENTO.CodBarra=""),"(Sem Código)",IF(ISERROR(MATCH($AE149,INDIRECT(ORÇAMENTO.BancoRef),0)),"(Código não identificado nas referências)",MATCH($AE149,INDIRECT(ORÇAMENTO.BancoRef),0))))</f>
        <v>2626</v>
      </c>
      <c r="AG149" s="498">
        <f ca="1">ROUND(IF(DESONERACAO="sim",REFERENCIA.Desonerado,REFERENCIA.NaoDesonerado),2)</f>
        <v>13.19</v>
      </c>
      <c r="AH149" s="499">
        <f t="shared" ca="1" si="128"/>
        <v>0.20349999999999999</v>
      </c>
      <c r="AJ149" s="501">
        <v>6</v>
      </c>
      <c r="AL149" s="527"/>
      <c r="AM149" s="381">
        <f t="shared" ca="1" si="124"/>
        <v>95.22</v>
      </c>
      <c r="AN149" s="566">
        <f t="shared" ca="1" si="129"/>
        <v>15.87</v>
      </c>
    </row>
    <row r="150" spans="1:40" x14ac:dyDescent="0.2">
      <c r="A150">
        <f>CHOOSE(1+LOG(1+2*(ORÇAMENTO.Nivel="Meta")+4*(ORÇAMENTO.Nivel="Nível 2")+8*(ORÇAMENTO.Nivel="Nível 3")+16*(ORÇAMENTO.Nivel="Nível 4")+32*(ORÇAMENTO.Nivel="Serviço"),2),0,1,2,3,4,"S")</f>
        <v>1</v>
      </c>
      <c r="B150">
        <f ca="1">IF(OR(C150="s",C150=0),OFFSET(B150,-1,0),C150)</f>
        <v>1</v>
      </c>
      <c r="C150">
        <f ca="1">IF(OFFSET(C150,-1,0)="L",1,IF(OFFSET(C150,-1,0)=1,2,IF(OR(A150="s",A150=0),"S",IF(AND(OFFSET(C150,-1,0)=2,A150=4),3,IF(AND(OR(OFFSET(C150,-1,0)="s",OFFSET(C150,-1,0)=0),A150&lt;&gt;"s",A150&gt;OFFSET(B150,-1,0)),OFFSET(B150,-1,0),A150)))))</f>
        <v>1</v>
      </c>
      <c r="D150">
        <f ca="1">IF(OR(C150="S",C150=0),0,IF(ISERROR(K150),J150,SMALL(J150:K150,1)))</f>
        <v>15</v>
      </c>
      <c r="E150">
        <f ca="1">IF($C150=1,OFFSET(E150,-1,0)+MAX(1,COUNTIF(QCI!$A$13:$A$24,OFFSET(ORÇAMENTO!E150,-1,0))),OFFSET(E150,-1,0))</f>
        <v>10</v>
      </c>
      <c r="F150">
        <f ca="1">IF($C150=1,0,IF($C150=2,OFFSET(F150,-1,0)+1,OFFSET(F150,-1,0)))</f>
        <v>0</v>
      </c>
      <c r="G150">
        <f ca="1">IF(AND($C150&lt;=2,$C150&lt;&gt;0),0,IF($C150=3,OFFSET(G150,-1,0)+1,OFFSET(G150,-1,0)))</f>
        <v>0</v>
      </c>
      <c r="H150">
        <f ca="1">IF(AND($C150&lt;=3,$C150&lt;&gt;0),0,IF($C150=4,OFFSET(H150,-1,0)+1,OFFSET(H150,-1,0)))</f>
        <v>0</v>
      </c>
      <c r="I150">
        <f ca="1">IF(AND($C150&lt;=4,$C150&lt;&gt;0),0,IF(AND($C150="S",$X150&gt;0),OFFSET(I150,-1,0)+1,OFFSET(I150,-1,0)))</f>
        <v>0</v>
      </c>
      <c r="J150">
        <f ca="1">IF(OR($C150="S",$C150=0),0,MATCH(0,OFFSET($D150,1,$C150,ROW($C$165)-ROW($C150)),0))</f>
        <v>15</v>
      </c>
      <c r="K150" t="e">
        <f ca="1">IF(OR($C150="S",$C150=0),0,MATCH(OFFSET($D150,0,$C150)+IF($C150&lt;&gt;1,1,COUNTIF(QCI!$A$13:$A$24,ORÇAMENTO!E150)),OFFSET($D150,1,$C150,ROW($C$165)-ROW($C150)),0))</f>
        <v>#N/A</v>
      </c>
      <c r="L150" s="116" t="str">
        <f ca="1">IF(OR($X150&gt;0,$C150=1,$C150=2,$C150=3,$C150=4),"F","")</f>
        <v>F</v>
      </c>
      <c r="M150" s="117" t="s">
        <v>195</v>
      </c>
      <c r="N150" s="118" t="str">
        <f ca="1">CHOOSE(1+LOG(1+2*(C150=1)+4*(C150=2)+8*(C150=3)+16*(C150=4)+32*(C150="S"),2),"","Meta","Nível 2","Nível 3","Nível 4","Serviço")</f>
        <v>Meta</v>
      </c>
      <c r="O150" s="119" t="str">
        <f ca="1">IF(OR($C150=0,$L150=""),"-",CONCATENATE(E150&amp;".",IF(AND($A$5&gt;=2,$C150&gt;=2),F150&amp;".",""),IF(AND($A$5&gt;=3,$C150&gt;=3),G150&amp;".",""),IF(AND($A$5&gt;=4,$C150&gt;=4),H150&amp;".",""),IF($C150="S",I150&amp;".","")))</f>
        <v>10.</v>
      </c>
      <c r="P150" s="120" t="s">
        <v>247</v>
      </c>
      <c r="Q150" s="121"/>
      <c r="R150" s="122" t="s">
        <v>579</v>
      </c>
      <c r="S150" s="123" t="str">
        <f ca="1">REFERENCIA.Unidade</f>
        <v>-</v>
      </c>
      <c r="T150" s="124">
        <f ca="1">OFFSET(CÁLCULO!H$15,ROW($T150)-ROW(T$15),0)</f>
        <v>0</v>
      </c>
      <c r="U150" s="125"/>
      <c r="V150" s="126" t="s">
        <v>156</v>
      </c>
      <c r="W150" s="124">
        <f ca="1">IF($C150="S",ROUND(IF(TIPOORCAMENTO="Proposto",ORÇAMENTO.CustoUnitario*(1+$AH150),ORÇAMENTO.PrecoUnitarioLicitado),15-13*$AF$10),0)</f>
        <v>0</v>
      </c>
      <c r="X150" s="127">
        <f ca="1">IF($C150="S",IF(Import.TipoArredondamento&lt;&gt;"TransfereGOV",VTOTAL1,SUM(OFFSET(CÁLCULO!$AA$15,ROW($X150)-ROW($X$15),1):OFFSET(CÁLCULO!$AL$15,ROW($X150)-ROW($X$15),-1))),IF($C150=0,0,ROUND(SomaAgrup,15-13*$AF$11)))</f>
        <v>69860.06</v>
      </c>
      <c r="Y150" s="128" t="s">
        <v>245</v>
      </c>
      <c r="Z150" t="str">
        <f ca="1">IF(AND($C150="S",$X150&gt;0),IF(ISBLANK($Y150),"RA",LEFT($Y150,2)),"")</f>
        <v/>
      </c>
      <c r="AA150" s="129">
        <f ca="1">IF($C150="S",IF($Z150="CP",$X150,IF($Z150="RA",(($X150)*QCI!$AA$3),0)),SomaAgrup)</f>
        <v>69860.060000000012</v>
      </c>
      <c r="AB150" s="130">
        <f ca="1">IF($C150="S",IF($Z150="OU",ROUND($X150,2),0),SomaAgrup)</f>
        <v>0</v>
      </c>
      <c r="AC150" s="131" t="str">
        <f ca="1">IF($N150="","",IF(ORÇAMENTO.Descricao="","DESCRIÇÃO",IF(AND($C150="S",ORÇAMENTO.Unidade=""),"UNIDADE",IF($X150&lt;0,"VALOR NEGATIVO",IF(OR(AND(TIPOORCAMENTO="Proposto",$AG150&lt;&gt;"",$AG150&gt;0,ORÇAMENTO.CustoUnitario&gt;$AG150),AND(TIPOORCAMENTO="LICITADO",ORÇAMENTO.PrecoUnitarioLicitado&gt;$AN150)),"ACIMA REF.","")))))</f>
        <v/>
      </c>
      <c r="AD150">
        <f ca="1">IF(C150&lt;=CRONO.NivelExibicao,MAX($AD$15:OFFSET(AD150,-1,0))+IF($C150&lt;&gt;1,1,MAX(1,COUNTIF(QCI!$A$13:$A$24,OFFSET($E150,-1,0)))),"")</f>
        <v>30</v>
      </c>
      <c r="AE150" s="7" t="b">
        <f ca="1">IF(AND($C150="S",ORÇAMENTO.CodBarra&lt;&gt;""),IF(ORÇAMENTO.Fonte="",ORÇAMENTO.CodBarra,CONCATENATE(ORÇAMENTO.Fonte," ",ORÇAMENTO.CodBarra)))</f>
        <v>0</v>
      </c>
      <c r="AF150" s="13" t="str">
        <f ca="1">IF(ISERROR(INDIRECT(ORÇAMENTO.BancoRef)),"(abra o arquivo 'Referência "&amp;Excel_BuiltIn_Database&amp;".xlsm)",IF(OR($C150&lt;&gt;"S",ORÇAMENTO.CodBarra=""),"(Sem Código)",IF(ISERROR(MATCH($AE150,INDIRECT(ORÇAMENTO.BancoRef),0)),"(Código não identificado nas referências)",MATCH($AE150,INDIRECT(ORÇAMENTO.BancoRef),0))))</f>
        <v>(Sem Código)</v>
      </c>
      <c r="AG150" s="498">
        <f ca="1">ROUND(IF(DESONERACAO="sim",REFERENCIA.Desonerado,REFERENCIA.NaoDesonerado),2)</f>
        <v>0</v>
      </c>
      <c r="AH150" s="499">
        <f ca="1">ROUND(IF(ISNUMBER(ORÇAMENTO.OpcaoBDI),ORÇAMENTO.OpcaoBDI,IF(LEFT(ORÇAMENTO.OpcaoBDI,3)="BDI",HLOOKUP(ORÇAMENTO.OpcaoBDI,$F$4:$H$5,2,FALSE),0)),15-11*$AF$9)</f>
        <v>0.20349999999999999</v>
      </c>
      <c r="AJ150" s="501"/>
      <c r="AL150" s="527"/>
      <c r="AM150" s="381">
        <f t="shared" ca="1" si="124"/>
        <v>69860.06</v>
      </c>
      <c r="AN150" s="566">
        <f ca="1">ROUND(ORÇAMENTO.CustoUnitario*(1+$AH150),2)</f>
        <v>0</v>
      </c>
    </row>
    <row r="151" spans="1:40" x14ac:dyDescent="0.2">
      <c r="A151">
        <f t="shared" si="126"/>
        <v>2</v>
      </c>
      <c r="B151">
        <f t="shared" ca="1" si="130"/>
        <v>2</v>
      </c>
      <c r="C151">
        <f t="shared" ca="1" si="131"/>
        <v>2</v>
      </c>
      <c r="D151">
        <f t="shared" ca="1" si="132"/>
        <v>5</v>
      </c>
      <c r="E151">
        <f ca="1">IF($C151=1,OFFSET(E151,-1,0)+MAX(1,COUNTIF(QCI!$A$13:$A$24,OFFSET(ORÇAMENTO!E151,-1,0))),OFFSET(E151,-1,0))</f>
        <v>10</v>
      </c>
      <c r="F151">
        <f t="shared" ca="1" si="133"/>
        <v>1</v>
      </c>
      <c r="G151">
        <f t="shared" ca="1" si="134"/>
        <v>0</v>
      </c>
      <c r="H151">
        <f t="shared" ca="1" si="135"/>
        <v>0</v>
      </c>
      <c r="I151">
        <f t="shared" ca="1" si="136"/>
        <v>0</v>
      </c>
      <c r="J151">
        <f ca="1">IF(OR($C151="S",$C151=0),0,MATCH(0,OFFSET($D151,1,$C151,ROW($C$165)-ROW($C151)),0))</f>
        <v>14</v>
      </c>
      <c r="K151">
        <f ca="1">IF(OR($C151="S",$C151=0),0,MATCH(OFFSET($D151,0,$C151)+IF($C151&lt;&gt;1,1,COUNTIF(QCI!$A$13:$A$24,ORÇAMENTO!E151)),OFFSET($D151,1,$C151,ROW($C$165)-ROW($C151)),0))</f>
        <v>5</v>
      </c>
      <c r="L151" s="116" t="str">
        <f t="shared" ca="1" si="137"/>
        <v>F</v>
      </c>
      <c r="M151" s="117" t="s">
        <v>196</v>
      </c>
      <c r="N151" s="118" t="str">
        <f t="shared" ca="1" si="138"/>
        <v>Nível 2</v>
      </c>
      <c r="O151" s="119" t="str">
        <f t="shared" ca="1" si="139"/>
        <v>10.1.</v>
      </c>
      <c r="P151" s="120" t="s">
        <v>247</v>
      </c>
      <c r="Q151" s="121"/>
      <c r="R151" s="122" t="s">
        <v>596</v>
      </c>
      <c r="S151" s="123" t="str">
        <f ca="1">REFERENCIA.Unidade</f>
        <v>-</v>
      </c>
      <c r="T151" s="124">
        <f ca="1">OFFSET(CÁLCULO!H$15,ROW($T151)-ROW(T$15),0)</f>
        <v>0</v>
      </c>
      <c r="U151" s="125">
        <f t="shared" ca="1" si="120"/>
        <v>0</v>
      </c>
      <c r="V151" s="126" t="s">
        <v>156</v>
      </c>
      <c r="W151" s="124">
        <f ca="1">IF($C151="S",ROUND(IF(TIPOORCAMENTO="Proposto",ORÇAMENTO.CustoUnitario*(1+$AH151),ORÇAMENTO.PrecoUnitarioLicitado),15-13*$AF$10),0)</f>
        <v>0</v>
      </c>
      <c r="X151" s="127">
        <f ca="1">IF($C151="S",IF(Import.TipoArredondamento&lt;&gt;"TransfereGOV",VTOTAL1,SUM(OFFSET(CÁLCULO!$AA$15,ROW($X151)-ROW($X$15),1):OFFSET(CÁLCULO!$AL$15,ROW($X151)-ROW($X$15),-1))),IF($C151=0,0,ROUND(SomaAgrup,15-13*$AF$11)))</f>
        <v>62669.7</v>
      </c>
      <c r="Y151" s="128" t="s">
        <v>245</v>
      </c>
      <c r="Z151" t="str">
        <f t="shared" ca="1" si="140"/>
        <v/>
      </c>
      <c r="AA151" s="129">
        <f ca="1">IF($C151="S",IF($Z151="CP",$X151,IF($Z151="RA",(($X151)*QCI!$AA$3),0)),SomaAgrup)</f>
        <v>62669.7</v>
      </c>
      <c r="AB151" s="130">
        <f t="shared" ca="1" si="127"/>
        <v>0</v>
      </c>
      <c r="AC151" s="131" t="str">
        <f ca="1">IF($N151="","",IF(ORÇAMENTO.Descricao="","DESCRIÇÃO",IF(AND($C151="S",ORÇAMENTO.Unidade=""),"UNIDADE",IF($X151&lt;0,"VALOR NEGATIVO",IF(OR(AND(TIPOORCAMENTO="Proposto",$AG151&lt;&gt;"",$AG151&gt;0,ORÇAMENTO.CustoUnitario&gt;$AG151),AND(TIPOORCAMENTO="LICITADO",ORÇAMENTO.PrecoUnitarioLicitado&gt;$AN151)),"ACIMA REF.","")))))</f>
        <v/>
      </c>
      <c r="AD151">
        <f ca="1">IF(C151&lt;=CRONO.NivelExibicao,MAX($AD$15:OFFSET(AD151,-1,0))+IF($C151&lt;&gt;1,1,MAX(1,COUNTIF(QCI!$A$13:$A$24,OFFSET($E151,-1,0)))),"")</f>
        <v>31</v>
      </c>
      <c r="AE151" s="7" t="b">
        <f ca="1">IF(AND($C151="S",ORÇAMENTO.CodBarra&lt;&gt;""),IF(ORÇAMENTO.Fonte="",ORÇAMENTO.CodBarra,CONCATENATE(ORÇAMENTO.Fonte," ",ORÇAMENTO.CodBarra)))</f>
        <v>0</v>
      </c>
      <c r="AF151" s="13" t="str">
        <f ca="1">IF(ISERROR(INDIRECT(ORÇAMENTO.BancoRef)),"(abra o arquivo 'Referência "&amp;Excel_BuiltIn_Database&amp;".xlsm)",IF(OR($C151&lt;&gt;"S",ORÇAMENTO.CodBarra=""),"(Sem Código)",IF(ISERROR(MATCH($AE151,INDIRECT(ORÇAMENTO.BancoRef),0)),"(Código não identificado nas referências)",MATCH($AE151,INDIRECT(ORÇAMENTO.BancoRef),0))))</f>
        <v>(Sem Código)</v>
      </c>
      <c r="AG151" s="498">
        <f ca="1">ROUND(IF(DESONERACAO="sim",REFERENCIA.Desonerado,REFERENCIA.NaoDesonerado),2)</f>
        <v>0</v>
      </c>
      <c r="AH151" s="499">
        <f t="shared" ca="1" si="128"/>
        <v>0.20349999999999999</v>
      </c>
      <c r="AJ151" s="501"/>
      <c r="AL151" s="527"/>
      <c r="AM151" s="381">
        <f t="shared" ca="1" si="124"/>
        <v>62669.7</v>
      </c>
      <c r="AN151" s="566">
        <f t="shared" ca="1" si="129"/>
        <v>0</v>
      </c>
    </row>
    <row r="152" spans="1:40" ht="38.25" x14ac:dyDescent="0.2">
      <c r="A152" t="str">
        <f t="shared" si="126"/>
        <v>S</v>
      </c>
      <c r="B152">
        <f t="shared" ca="1" si="130"/>
        <v>2</v>
      </c>
      <c r="C152" t="str">
        <f t="shared" ca="1" si="131"/>
        <v>S</v>
      </c>
      <c r="D152">
        <f t="shared" ca="1" si="132"/>
        <v>0</v>
      </c>
      <c r="E152">
        <f ca="1">IF($C152=1,OFFSET(E152,-1,0)+MAX(1,COUNTIF(QCI!$A$13:$A$24,OFFSET(ORÇAMENTO!E152,-1,0))),OFFSET(E152,-1,0))</f>
        <v>10</v>
      </c>
      <c r="F152">
        <f t="shared" ca="1" si="133"/>
        <v>1</v>
      </c>
      <c r="G152">
        <f t="shared" ca="1" si="134"/>
        <v>0</v>
      </c>
      <c r="H152">
        <f t="shared" ca="1" si="135"/>
        <v>0</v>
      </c>
      <c r="I152">
        <f t="shared" ca="1" si="136"/>
        <v>1</v>
      </c>
      <c r="J152">
        <f ca="1">IF(OR($C152="S",$C152=0),0,MATCH(0,OFFSET($D152,1,$C152,ROW($C$165)-ROW($C152)),0))</f>
        <v>0</v>
      </c>
      <c r="K152">
        <f ca="1">IF(OR($C152="S",$C152=0),0,MATCH(OFFSET($D152,0,$C152)+IF($C152&lt;&gt;1,1,COUNTIF(QCI!$A$13:$A$24,ORÇAMENTO!E152)),OFFSET($D152,1,$C152,ROW($C$165)-ROW($C152)),0))</f>
        <v>0</v>
      </c>
      <c r="L152" s="116" t="str">
        <f t="shared" ca="1" si="137"/>
        <v>F</v>
      </c>
      <c r="M152" s="117" t="s">
        <v>199</v>
      </c>
      <c r="N152" s="118" t="str">
        <f t="shared" ca="1" si="138"/>
        <v>Serviço</v>
      </c>
      <c r="O152" s="119" t="str">
        <f t="shared" ca="1" si="139"/>
        <v>10.1.1.</v>
      </c>
      <c r="P152" s="120" t="s">
        <v>491</v>
      </c>
      <c r="Q152" s="121" t="s">
        <v>562</v>
      </c>
      <c r="R152" s="122" t="str">
        <f ca="1">IF($C152="S",REFERENCIA.Descricao,"(digite a descrição aqui)")</f>
        <v>FORNECIMENTO E INSTALAÇÃO DE ALAMBRADO EM TELA DE ARAME GALVANIZADO QUADRANGULAR FIO 2,11 MM (14 BWG), MALHA 5X5 CM</v>
      </c>
      <c r="S152" s="123" t="str">
        <f ca="1">REFERENCIA.Unidade</f>
        <v xml:space="preserve">M2 </v>
      </c>
      <c r="T152" s="124">
        <f ca="1">OFFSET(CÁLCULO!H$15,ROW($T152)-ROW(T$15),0)</f>
        <v>688</v>
      </c>
      <c r="U152" s="125">
        <f t="shared" ca="1" si="120"/>
        <v>33.15</v>
      </c>
      <c r="V152" s="126" t="s">
        <v>156</v>
      </c>
      <c r="W152" s="124">
        <f ca="1">IF($C152="S",ROUND(IF(TIPOORCAMENTO="Proposto",ORÇAMENTO.CustoUnitario*(1+$AH152),ORÇAMENTO.PrecoUnitarioLicitado),15-13*$AF$10),0)</f>
        <v>39.9</v>
      </c>
      <c r="X152" s="127">
        <f ca="1">IF($C152="S",IF(Import.TipoArredondamento&lt;&gt;"TransfereGOV",VTOTAL1,SUM(OFFSET(CÁLCULO!$AA$15,ROW($X152)-ROW($X$15),1):OFFSET(CÁLCULO!$AL$15,ROW($X152)-ROW($X$15),-1))),IF($C152=0,0,ROUND(SomaAgrup,15-13*$AF$11)))</f>
        <v>27451.200000000001</v>
      </c>
      <c r="Y152" s="128" t="s">
        <v>245</v>
      </c>
      <c r="Z152" t="str">
        <f t="shared" ca="1" si="140"/>
        <v>RA</v>
      </c>
      <c r="AA152" s="129">
        <f ca="1">IF($C152="S",IF($Z152="CP",$X152,IF($Z152="RA",(($X152)*QCI!$AA$3),0)),SomaAgrup)</f>
        <v>27451.200000000001</v>
      </c>
      <c r="AB152" s="130">
        <f t="shared" ca="1" si="127"/>
        <v>0</v>
      </c>
      <c r="AC152" s="131" t="str">
        <f ca="1">IF($N152="","",IF(ORÇAMENTO.Descricao="","DESCRIÇÃO",IF(AND($C152="S",ORÇAMENTO.Unidade=""),"UNIDADE",IF($X152&lt;0,"VALOR NEGATIVO",IF(OR(AND(TIPOORCAMENTO="Proposto",$AG152&lt;&gt;"",$AG152&gt;0,ORÇAMENTO.CustoUnitario&gt;$AG152),AND(TIPOORCAMENTO="LICITADO",ORÇAMENTO.PrecoUnitarioLicitado&gt;$AN152)),"ACIMA REF.","")))))</f>
        <v/>
      </c>
      <c r="AD152" t="str">
        <f ca="1">IF(C152&lt;=CRONO.NivelExibicao,MAX($AD$15:OFFSET(AD152,-1,0))+IF($C152&lt;&gt;1,1,MAX(1,COUNTIF(QCI!$A$13:$A$24,OFFSET($E152,-1,0)))),"")</f>
        <v/>
      </c>
      <c r="AE152" s="7" t="str">
        <f ca="1">IF(AND($C152="S",ORÇAMENTO.CodBarra&lt;&gt;""),IF(ORÇAMENTO.Fonte="",ORÇAMENTO.CodBarra,CONCATENATE(ORÇAMENTO.Fonte," ",ORÇAMENTO.CodBarra)))</f>
        <v>Composição 09</v>
      </c>
      <c r="AF152" s="13">
        <f ca="1">IF(ISERROR(INDIRECT(ORÇAMENTO.BancoRef)),"(abra o arquivo 'Referência "&amp;Excel_BuiltIn_Database&amp;".xlsm)",IF(OR($C152&lt;&gt;"S",ORÇAMENTO.CodBarra=""),"(Sem Código)",IF(ISERROR(MATCH($AE152,INDIRECT(ORÇAMENTO.BancoRef),0)),"(Código não identificado nas referências)",MATCH($AE152,INDIRECT(ORÇAMENTO.BancoRef),0))))</f>
        <v>11</v>
      </c>
      <c r="AG152" s="498">
        <f ca="1">ROUND(IF(DESONERACAO="sim",REFERENCIA.Desonerado,REFERENCIA.NaoDesonerado),2)</f>
        <v>33.15</v>
      </c>
      <c r="AH152" s="499">
        <f t="shared" ca="1" si="128"/>
        <v>0.20349999999999999</v>
      </c>
      <c r="AJ152" s="501">
        <f>(32+32+54+54)*4</f>
        <v>688</v>
      </c>
      <c r="AL152" s="527"/>
      <c r="AM152" s="381">
        <f t="shared" ca="1" si="124"/>
        <v>27451.200000000001</v>
      </c>
      <c r="AN152" s="566">
        <f t="shared" ca="1" si="129"/>
        <v>39.9</v>
      </c>
    </row>
    <row r="153" spans="1:40" ht="25.5" x14ac:dyDescent="0.2">
      <c r="A153" t="str">
        <f t="shared" si="126"/>
        <v>S</v>
      </c>
      <c r="B153">
        <f t="shared" ca="1" si="130"/>
        <v>2</v>
      </c>
      <c r="C153" t="str">
        <f t="shared" ca="1" si="131"/>
        <v>S</v>
      </c>
      <c r="D153">
        <f t="shared" ca="1" si="132"/>
        <v>0</v>
      </c>
      <c r="E153">
        <f ca="1">IF($C153=1,OFFSET(E153,-1,0)+MAX(1,COUNTIF(QCI!$A$13:$A$24,OFFSET(ORÇAMENTO!E153,-1,0))),OFFSET(E153,-1,0))</f>
        <v>10</v>
      </c>
      <c r="F153">
        <f t="shared" ca="1" si="133"/>
        <v>1</v>
      </c>
      <c r="G153">
        <f t="shared" ca="1" si="134"/>
        <v>0</v>
      </c>
      <c r="H153">
        <f t="shared" ca="1" si="135"/>
        <v>0</v>
      </c>
      <c r="I153">
        <f t="shared" ca="1" si="136"/>
        <v>2</v>
      </c>
      <c r="J153">
        <f ca="1">IF(OR($C153="S",$C153=0),0,MATCH(0,OFFSET($D153,1,$C153,ROW($C$165)-ROW($C153)),0))</f>
        <v>0</v>
      </c>
      <c r="K153">
        <f ca="1">IF(OR($C153="S",$C153=0),0,MATCH(OFFSET($D153,0,$C153)+IF($C153&lt;&gt;1,1,COUNTIF(QCI!$A$13:$A$24,ORÇAMENTO!E153)),OFFSET($D153,1,$C153,ROW($C$165)-ROW($C153)),0))</f>
        <v>0</v>
      </c>
      <c r="L153" s="116" t="str">
        <f t="shared" ca="1" si="137"/>
        <v>F</v>
      </c>
      <c r="M153" s="117" t="s">
        <v>199</v>
      </c>
      <c r="N153" s="118" t="str">
        <f t="shared" ca="1" si="138"/>
        <v>Serviço</v>
      </c>
      <c r="O153" s="119" t="str">
        <f t="shared" ca="1" si="139"/>
        <v>10.1.2.</v>
      </c>
      <c r="P153" s="120" t="s">
        <v>582</v>
      </c>
      <c r="Q153" s="121" t="s">
        <v>536</v>
      </c>
      <c r="R153" s="122" t="str">
        <f ca="1">IF($C153="S",REFERENCIA.Descricao,"(digite a descrição aqui)")</f>
        <v>6 UNIDADES DE POSTE DE CONCRETO PRE FABRICADO 20X30CM, 6M DE ALTURA - INCLUSO INSTALAÇÃO</v>
      </c>
      <c r="S153" s="123" t="str">
        <f ca="1">REFERENCIA.Unidade</f>
        <v>UN</v>
      </c>
      <c r="T153" s="124">
        <f ca="1">OFFSET(CÁLCULO!H$15,ROW($T153)-ROW(T$15),0)</f>
        <v>1</v>
      </c>
      <c r="U153" s="125">
        <f t="shared" ca="1" si="120"/>
        <v>9980</v>
      </c>
      <c r="V153" s="126">
        <v>0</v>
      </c>
      <c r="W153" s="124">
        <f ca="1">IF($C153="S",ROUND(IF(TIPOORCAMENTO="Proposto",ORÇAMENTO.CustoUnitario*(1+$AH153),ORÇAMENTO.PrecoUnitarioLicitado),15-13*$AF$10),0)</f>
        <v>9980</v>
      </c>
      <c r="X153" s="127">
        <f ca="1">IF($C153="S",IF(Import.TipoArredondamento&lt;&gt;"TransfereGOV",VTOTAL1,SUM(OFFSET(CÁLCULO!$AA$15,ROW($X153)-ROW($X$15),1):OFFSET(CÁLCULO!$AL$15,ROW($X153)-ROW($X$15),-1))),IF($C153=0,0,ROUND(SomaAgrup,15-13*$AF$11)))</f>
        <v>9980</v>
      </c>
      <c r="Y153" s="128" t="s">
        <v>245</v>
      </c>
      <c r="Z153" t="str">
        <f t="shared" ca="1" si="140"/>
        <v>RA</v>
      </c>
      <c r="AA153" s="129">
        <f ca="1">IF($C153="S",IF($Z153="CP",$X153,IF($Z153="RA",(($X153)*QCI!$AA$3),0)),SomaAgrup)</f>
        <v>9980</v>
      </c>
      <c r="AB153" s="130">
        <f t="shared" ca="1" si="127"/>
        <v>0</v>
      </c>
      <c r="AC153" s="131" t="str">
        <f ca="1">IF($N153="","",IF(ORÇAMENTO.Descricao="","DESCRIÇÃO",IF(AND($C153="S",ORÇAMENTO.Unidade=""),"UNIDADE",IF($X153&lt;0,"VALOR NEGATIVO",IF(OR(AND(TIPOORCAMENTO="Proposto",$AG153&lt;&gt;"",$AG153&gt;0,ORÇAMENTO.CustoUnitario&gt;$AG153),AND(TIPOORCAMENTO="LICITADO",ORÇAMENTO.PrecoUnitarioLicitado&gt;$AN153)),"ACIMA REF.","")))))</f>
        <v/>
      </c>
      <c r="AD153" t="str">
        <f ca="1">IF(C153&lt;=CRONO.NivelExibicao,MAX($AD$15:OFFSET(AD153,-1,0))+IF($C153&lt;&gt;1,1,MAX(1,COUNTIF(QCI!$A$13:$A$24,OFFSET($E153,-1,0)))),"")</f>
        <v/>
      </c>
      <c r="AE153" s="7" t="str">
        <f ca="1">IF(AND($C153="S",ORÇAMENTO.CodBarra&lt;&gt;""),IF(ORÇAMENTO.Fonte="",ORÇAMENTO.CodBarra,CONCATENATE(ORÇAMENTO.Fonte," ",ORÇAMENTO.CodBarra)))</f>
        <v>Cotação 04</v>
      </c>
      <c r="AF153" s="13">
        <f ca="1">IF(ISERROR(INDIRECT(ORÇAMENTO.BancoRef)),"(abra o arquivo 'Referência "&amp;Excel_BuiltIn_Database&amp;".xlsm)",IF(OR($C153&lt;&gt;"S",ORÇAMENTO.CodBarra=""),"(Sem Código)",IF(ISERROR(MATCH($AE153,INDIRECT(ORÇAMENTO.BancoRef),0)),"(Código não identificado nas referências)",MATCH($AE153,INDIRECT(ORÇAMENTO.BancoRef),0))))</f>
        <v>18</v>
      </c>
      <c r="AG153" s="498">
        <f ca="1">ROUND(IF(DESONERACAO="sim",REFERENCIA.Desonerado,REFERENCIA.NaoDesonerado),2)</f>
        <v>9980</v>
      </c>
      <c r="AH153" s="499">
        <f t="shared" si="128"/>
        <v>0</v>
      </c>
      <c r="AJ153" s="501">
        <v>1</v>
      </c>
      <c r="AL153" s="527"/>
      <c r="AM153" s="381">
        <f t="shared" ca="1" si="124"/>
        <v>9980</v>
      </c>
      <c r="AN153" s="566">
        <f t="shared" ca="1" si="129"/>
        <v>9980</v>
      </c>
    </row>
    <row r="154" spans="1:40" ht="25.5" x14ac:dyDescent="0.2">
      <c r="A154" t="str">
        <f t="shared" si="126"/>
        <v>S</v>
      </c>
      <c r="B154">
        <f t="shared" ca="1" si="130"/>
        <v>2</v>
      </c>
      <c r="C154" t="str">
        <f t="shared" ca="1" si="131"/>
        <v>S</v>
      </c>
      <c r="D154">
        <f t="shared" ca="1" si="132"/>
        <v>0</v>
      </c>
      <c r="E154">
        <f ca="1">IF($C154=1,OFFSET(E154,-1,0)+MAX(1,COUNTIF(QCI!$A$13:$A$24,OFFSET(ORÇAMENTO!E154,-1,0))),OFFSET(E154,-1,0))</f>
        <v>10</v>
      </c>
      <c r="F154">
        <f t="shared" ca="1" si="133"/>
        <v>1</v>
      </c>
      <c r="G154">
        <f t="shared" ca="1" si="134"/>
        <v>0</v>
      </c>
      <c r="H154">
        <f t="shared" ca="1" si="135"/>
        <v>0</v>
      </c>
      <c r="I154">
        <f t="shared" ca="1" si="136"/>
        <v>3</v>
      </c>
      <c r="J154">
        <f ca="1">IF(OR($C154="S",$C154=0),0,MATCH(0,OFFSET($D154,1,$C154,ROW($C$165)-ROW($C154)),0))</f>
        <v>0</v>
      </c>
      <c r="K154">
        <f ca="1">IF(OR($C154="S",$C154=0),0,MATCH(OFFSET($D154,0,$C154)+IF($C154&lt;&gt;1,1,COUNTIF(QCI!$A$13:$A$24,ORÇAMENTO!E154)),OFFSET($D154,1,$C154,ROW($C$165)-ROW($C154)),0))</f>
        <v>0</v>
      </c>
      <c r="L154" s="116" t="str">
        <f t="shared" ca="1" si="137"/>
        <v>F</v>
      </c>
      <c r="M154" s="117" t="s">
        <v>199</v>
      </c>
      <c r="N154" s="118" t="str">
        <f t="shared" ca="1" si="138"/>
        <v>Serviço</v>
      </c>
      <c r="O154" s="119" t="str">
        <f t="shared" ca="1" si="139"/>
        <v>10.1.3.</v>
      </c>
      <c r="P154" s="120" t="s">
        <v>582</v>
      </c>
      <c r="Q154" s="121" t="s">
        <v>544</v>
      </c>
      <c r="R154" s="122" t="str">
        <f ca="1">IF($C154="S",REFERENCIA.Descricao,"(digite a descrição aqui)")</f>
        <v xml:space="preserve">38 UNIDADES DE POSTE DE CONCRETO PRE FABRICADO 15X15CM, 5M DE ALTURA - INCLUSO INSTALAÇÃO </v>
      </c>
      <c r="S154" s="123" t="str">
        <f ca="1">REFERENCIA.Unidade</f>
        <v>UN</v>
      </c>
      <c r="T154" s="124">
        <f ca="1">OFFSET(CÁLCULO!H$15,ROW($T154)-ROW(T$15),0)</f>
        <v>1</v>
      </c>
      <c r="U154" s="125">
        <f t="shared" ca="1" si="120"/>
        <v>24700</v>
      </c>
      <c r="V154" s="126">
        <v>0</v>
      </c>
      <c r="W154" s="124">
        <f ca="1">IF($C154="S",ROUND(IF(TIPOORCAMENTO="Proposto",ORÇAMENTO.CustoUnitario*(1+$AH154),ORÇAMENTO.PrecoUnitarioLicitado),15-13*$AF$10),0)</f>
        <v>24700</v>
      </c>
      <c r="X154" s="127">
        <f ca="1">IF($C154="S",IF(Import.TipoArredondamento&lt;&gt;"TransfereGOV",VTOTAL1,SUM(OFFSET(CÁLCULO!$AA$15,ROW($X154)-ROW($X$15),1):OFFSET(CÁLCULO!$AL$15,ROW($X154)-ROW($X$15),-1))),IF($C154=0,0,ROUND(SomaAgrup,15-13*$AF$11)))</f>
        <v>24700</v>
      </c>
      <c r="Y154" s="128" t="s">
        <v>245</v>
      </c>
      <c r="Z154" t="str">
        <f t="shared" ca="1" si="140"/>
        <v>RA</v>
      </c>
      <c r="AA154" s="129">
        <f ca="1">IF($C154="S",IF($Z154="CP",$X154,IF($Z154="RA",(($X154)*QCI!$AA$3),0)),SomaAgrup)</f>
        <v>24700</v>
      </c>
      <c r="AB154" s="130">
        <f t="shared" ca="1" si="127"/>
        <v>0</v>
      </c>
      <c r="AC154" s="131" t="str">
        <f ca="1">IF($N154="","",IF(ORÇAMENTO.Descricao="","DESCRIÇÃO",IF(AND($C154="S",ORÇAMENTO.Unidade=""),"UNIDADE",IF($X154&lt;0,"VALOR NEGATIVO",IF(OR(AND(TIPOORCAMENTO="Proposto",$AG154&lt;&gt;"",$AG154&gt;0,ORÇAMENTO.CustoUnitario&gt;$AG154),AND(TIPOORCAMENTO="LICITADO",ORÇAMENTO.PrecoUnitarioLicitado&gt;$AN154)),"ACIMA REF.","")))))</f>
        <v/>
      </c>
      <c r="AD154" t="str">
        <f ca="1">IF(C154&lt;=CRONO.NivelExibicao,MAX($AD$15:OFFSET(AD154,-1,0))+IF($C154&lt;&gt;1,1,MAX(1,COUNTIF(QCI!$A$13:$A$24,OFFSET($E154,-1,0)))),"")</f>
        <v/>
      </c>
      <c r="AE154" s="7" t="str">
        <f ca="1">IF(AND($C154="S",ORÇAMENTO.CodBarra&lt;&gt;""),IF(ORÇAMENTO.Fonte="",ORÇAMENTO.CodBarra,CONCATENATE(ORÇAMENTO.Fonte," ",ORÇAMENTO.CodBarra)))</f>
        <v>Cotação 05</v>
      </c>
      <c r="AF154" s="13">
        <f ca="1">IF(ISERROR(INDIRECT(ORÇAMENTO.BancoRef)),"(abra o arquivo 'Referência "&amp;Excel_BuiltIn_Database&amp;".xlsm)",IF(OR($C154&lt;&gt;"S",ORÇAMENTO.CodBarra=""),"(Sem Código)",IF(ISERROR(MATCH($AE154,INDIRECT(ORÇAMENTO.BancoRef),0)),"(Código não identificado nas referências)",MATCH($AE154,INDIRECT(ORÇAMENTO.BancoRef),0))))</f>
        <v>19</v>
      </c>
      <c r="AG154" s="498">
        <f ca="1">ROUND(IF(DESONERACAO="sim",REFERENCIA.Desonerado,REFERENCIA.NaoDesonerado),2)</f>
        <v>24700</v>
      </c>
      <c r="AH154" s="499">
        <f t="shared" si="128"/>
        <v>0</v>
      </c>
      <c r="AJ154" s="501">
        <v>1</v>
      </c>
      <c r="AL154" s="527"/>
      <c r="AM154" s="381">
        <f t="shared" ca="1" si="124"/>
        <v>24700</v>
      </c>
      <c r="AN154" s="566">
        <f t="shared" ca="1" si="129"/>
        <v>24700</v>
      </c>
    </row>
    <row r="155" spans="1:40" ht="25.5" x14ac:dyDescent="0.2">
      <c r="A155" t="str">
        <f t="shared" si="126"/>
        <v>S</v>
      </c>
      <c r="B155">
        <f t="shared" ca="1" si="130"/>
        <v>2</v>
      </c>
      <c r="C155" t="str">
        <f t="shared" ca="1" si="131"/>
        <v>S</v>
      </c>
      <c r="D155">
        <f t="shared" ca="1" si="132"/>
        <v>0</v>
      </c>
      <c r="E155">
        <f ca="1">IF($C155=1,OFFSET(E155,-1,0)+MAX(1,COUNTIF(QCI!$A$13:$A$24,OFFSET(ORÇAMENTO!E155,-1,0))),OFFSET(E155,-1,0))</f>
        <v>10</v>
      </c>
      <c r="F155">
        <f t="shared" ca="1" si="133"/>
        <v>1</v>
      </c>
      <c r="G155">
        <f t="shared" ca="1" si="134"/>
        <v>0</v>
      </c>
      <c r="H155">
        <f t="shared" ca="1" si="135"/>
        <v>0</v>
      </c>
      <c r="I155">
        <f t="shared" ca="1" si="136"/>
        <v>4</v>
      </c>
      <c r="J155">
        <f ca="1">IF(OR($C155="S",$C155=0),0,MATCH(0,OFFSET($D155,1,$C155,ROW($C$165)-ROW($C155)),0))</f>
        <v>0</v>
      </c>
      <c r="K155">
        <f ca="1">IF(OR($C155="S",$C155=0),0,MATCH(OFFSET($D155,0,$C155)+IF($C155&lt;&gt;1,1,COUNTIF(QCI!$A$13:$A$24,ORÇAMENTO!E155)),OFFSET($D155,1,$C155,ROW($C$165)-ROW($C155)),0))</f>
        <v>0</v>
      </c>
      <c r="L155" s="116" t="str">
        <f t="shared" ca="1" si="137"/>
        <v>F</v>
      </c>
      <c r="M155" s="117" t="s">
        <v>199</v>
      </c>
      <c r="N155" s="118" t="str">
        <f t="shared" ca="1" si="138"/>
        <v>Serviço</v>
      </c>
      <c r="O155" s="119" t="str">
        <f t="shared" ca="1" si="139"/>
        <v>10.1.4.</v>
      </c>
      <c r="P155" s="120" t="s">
        <v>247</v>
      </c>
      <c r="Q155" s="121" t="s">
        <v>592</v>
      </c>
      <c r="R155" s="122" t="str">
        <f ca="1">IF($C155="S",REFERENCIA.Descricao,"(digite a descrição aqui)")</f>
        <v>LIMPEZA MANUAL DE VEGETAÇÃO EM TERRENO COM ENXADA. AF_03/2024</v>
      </c>
      <c r="S155" s="123" t="str">
        <f ca="1">REFERENCIA.Unidade</f>
        <v>M2</v>
      </c>
      <c r="T155" s="124">
        <f ca="1">OFFSET(CÁLCULO!H$15,ROW($T155)-ROW(T$15),0)</f>
        <v>75</v>
      </c>
      <c r="U155" s="125">
        <f t="shared" ca="1" si="120"/>
        <v>5.97</v>
      </c>
      <c r="V155" s="126" t="s">
        <v>156</v>
      </c>
      <c r="W155" s="124">
        <f ca="1">IF($C155="S",ROUND(IF(TIPOORCAMENTO="Proposto",ORÇAMENTO.CustoUnitario*(1+$AH155),ORÇAMENTO.PrecoUnitarioLicitado),15-13*$AF$10),0)</f>
        <v>7.18</v>
      </c>
      <c r="X155" s="127">
        <f ca="1">IF($C155="S",IF(Import.TipoArredondamento&lt;&gt;"TransfereGOV",VTOTAL1,SUM(OFFSET(CÁLCULO!$AA$15,ROW($X155)-ROW($X$15),1):OFFSET(CÁLCULO!$AL$15,ROW($X155)-ROW($X$15),-1))),IF($C155=0,0,ROUND(SomaAgrup,15-13*$AF$11)))</f>
        <v>538.5</v>
      </c>
      <c r="Y155" s="128" t="s">
        <v>245</v>
      </c>
      <c r="Z155" t="str">
        <f t="shared" ca="1" si="140"/>
        <v>RA</v>
      </c>
      <c r="AA155" s="129">
        <f ca="1">IF($C155="S",IF($Z155="CP",$X155,IF($Z155="RA",(($X155)*QCI!$AA$3),0)),SomaAgrup)</f>
        <v>538.5</v>
      </c>
      <c r="AB155" s="130">
        <f t="shared" ca="1" si="127"/>
        <v>0</v>
      </c>
      <c r="AC155" s="131" t="str">
        <f ca="1">IF($N155="","",IF(ORÇAMENTO.Descricao="","DESCRIÇÃO",IF(AND($C155="S",ORÇAMENTO.Unidade=""),"UNIDADE",IF($X155&lt;0,"VALOR NEGATIVO",IF(OR(AND(TIPOORCAMENTO="Proposto",$AG155&lt;&gt;"",$AG155&gt;0,ORÇAMENTO.CustoUnitario&gt;$AG155),AND(TIPOORCAMENTO="LICITADO",ORÇAMENTO.PrecoUnitarioLicitado&gt;$AN155)),"ACIMA REF.","")))))</f>
        <v/>
      </c>
      <c r="AD155" t="str">
        <f ca="1">IF(C155&lt;=CRONO.NivelExibicao,MAX($AD$15:OFFSET(AD155,-1,0))+IF($C155&lt;&gt;1,1,MAX(1,COUNTIF(QCI!$A$13:$A$24,OFFSET($E155,-1,0)))),"")</f>
        <v/>
      </c>
      <c r="AE155" s="7" t="str">
        <f ca="1">IF(AND($C155="S",ORÇAMENTO.CodBarra&lt;&gt;""),IF(ORÇAMENTO.Fonte="",ORÇAMENTO.CodBarra,CONCATENATE(ORÇAMENTO.Fonte," ",ORÇAMENTO.CodBarra)))</f>
        <v>SINAPI 98524</v>
      </c>
      <c r="AF155" s="13">
        <f ca="1">IF(ISERROR(INDIRECT(ORÇAMENTO.BancoRef)),"(abra o arquivo 'Referência "&amp;Excel_BuiltIn_Database&amp;".xlsm)",IF(OR($C155&lt;&gt;"S",ORÇAMENTO.CodBarra=""),"(Sem Código)",IF(ISERROR(MATCH($AE155,INDIRECT(ORÇAMENTO.BancoRef),0)),"(Código não identificado nas referências)",MATCH($AE155,INDIRECT(ORÇAMENTO.BancoRef),0))))</f>
        <v>15780</v>
      </c>
      <c r="AG155" s="498">
        <f ca="1">ROUND(IF(DESONERACAO="sim",REFERENCIA.Desonerado,REFERENCIA.NaoDesonerado),2)</f>
        <v>5.97</v>
      </c>
      <c r="AH155" s="499">
        <f t="shared" ca="1" si="128"/>
        <v>0.20349999999999999</v>
      </c>
      <c r="AJ155" s="501">
        <v>75</v>
      </c>
      <c r="AL155" s="527"/>
      <c r="AM155" s="381">
        <f t="shared" ca="1" si="124"/>
        <v>538.5</v>
      </c>
      <c r="AN155" s="566">
        <f t="shared" ca="1" si="129"/>
        <v>7.18</v>
      </c>
    </row>
    <row r="156" spans="1:40" x14ac:dyDescent="0.2">
      <c r="A156">
        <f>CHOOSE(1+LOG(1+2*(ORÇAMENTO.Nivel="Meta")+4*(ORÇAMENTO.Nivel="Nível 2")+8*(ORÇAMENTO.Nivel="Nível 3")+16*(ORÇAMENTO.Nivel="Nível 4")+32*(ORÇAMENTO.Nivel="Serviço"),2),0,1,2,3,4,"S")</f>
        <v>2</v>
      </c>
      <c r="B156">
        <f ca="1">IF(OR(C156="s",C156=0),OFFSET(B156,-1,0),C156)</f>
        <v>2</v>
      </c>
      <c r="C156">
        <f ca="1">IF(OFFSET(C156,-1,0)="L",1,IF(OFFSET(C156,-1,0)=1,2,IF(OR(A156="s",A156=0),"S",IF(AND(OFFSET(C156,-1,0)=2,A156=4),3,IF(AND(OR(OFFSET(C156,-1,0)="s",OFFSET(C156,-1,0)=0),A156&lt;&gt;"s",A156&gt;OFFSET(B156,-1,0)),OFFSET(B156,-1,0),A156)))))</f>
        <v>2</v>
      </c>
      <c r="D156">
        <f ca="1">IF(OR(C156="S",C156=0),0,IF(ISERROR(K156),J156,SMALL(J156:K156,1)))</f>
        <v>7</v>
      </c>
      <c r="E156">
        <f ca="1">IF($C156=1,OFFSET(E156,-1,0)+MAX(1,COUNTIF(QCI!$A$13:$A$24,OFFSET(ORÇAMENTO!E156,-1,0))),OFFSET(E156,-1,0))</f>
        <v>10</v>
      </c>
      <c r="F156">
        <f ca="1">IF($C156=1,0,IF($C156=2,OFFSET(F156,-1,0)+1,OFFSET(F156,-1,0)))</f>
        <v>2</v>
      </c>
      <c r="G156">
        <f ca="1">IF(AND($C156&lt;=2,$C156&lt;&gt;0),0,IF($C156=3,OFFSET(G156,-1,0)+1,OFFSET(G156,-1,0)))</f>
        <v>0</v>
      </c>
      <c r="H156">
        <f ca="1">IF(AND($C156&lt;=3,$C156&lt;&gt;0),0,IF($C156=4,OFFSET(H156,-1,0)+1,OFFSET(H156,-1,0)))</f>
        <v>0</v>
      </c>
      <c r="I156">
        <f ca="1">IF(AND($C156&lt;=4,$C156&lt;&gt;0),0,IF(AND($C156="S",$X156&gt;0),OFFSET(I156,-1,0)+1,OFFSET(I156,-1,0)))</f>
        <v>0</v>
      </c>
      <c r="J156">
        <f ca="1">IF(OR($C156="S",$C156=0),0,MATCH(0,OFFSET($D156,1,$C156,ROW($C$165)-ROW($C156)),0))</f>
        <v>9</v>
      </c>
      <c r="K156">
        <f ca="1">IF(OR($C156="S",$C156=0),0,MATCH(OFFSET($D156,0,$C156)+IF($C156&lt;&gt;1,1,COUNTIF(QCI!$A$13:$A$24,ORÇAMENTO!E156)),OFFSET($D156,1,$C156,ROW($C$165)-ROW($C156)),0))</f>
        <v>7</v>
      </c>
      <c r="L156" s="116" t="str">
        <f ca="1">IF(OR($X156&gt;0,$C156=1,$C156=2,$C156=3,$C156=4),"F","")</f>
        <v>F</v>
      </c>
      <c r="M156" s="117" t="s">
        <v>196</v>
      </c>
      <c r="N156" s="118" t="str">
        <f ca="1">CHOOSE(1+LOG(1+2*(C156=1)+4*(C156=2)+8*(C156=3)+16*(C156=4)+32*(C156="S"),2),"","Meta","Nível 2","Nível 3","Nível 4","Serviço")</f>
        <v>Nível 2</v>
      </c>
      <c r="O156" s="119" t="str">
        <f ca="1">IF(OR($C156=0,$L156=""),"-",CONCATENATE(E156&amp;".",IF(AND($A$5&gt;=2,$C156&gt;=2),F156&amp;".",""),IF(AND($A$5&gt;=3,$C156&gt;=3),G156&amp;".",""),IF(AND($A$5&gt;=4,$C156&gt;=4),H156&amp;".",""),IF($C156="S",I156&amp;".","")))</f>
        <v>10.2.</v>
      </c>
      <c r="P156" s="120" t="s">
        <v>247</v>
      </c>
      <c r="Q156" s="121"/>
      <c r="R156" s="122" t="s">
        <v>595</v>
      </c>
      <c r="S156" s="123" t="str">
        <f ca="1">REFERENCIA.Unidade</f>
        <v>-</v>
      </c>
      <c r="T156" s="124">
        <f ca="1">OFFSET(CÁLCULO!H$15,ROW($T156)-ROW(T$15),0)</f>
        <v>0</v>
      </c>
      <c r="U156" s="125"/>
      <c r="V156" s="126" t="s">
        <v>156</v>
      </c>
      <c r="W156" s="124">
        <f ca="1">IF($C156="S",ROUND(IF(TIPOORCAMENTO="Proposto",ORÇAMENTO.CustoUnitario*(1+$AH156),ORÇAMENTO.PrecoUnitarioLicitado),15-13*$AF$10),0)</f>
        <v>0</v>
      </c>
      <c r="X156" s="127">
        <f ca="1">IF($C156="S",IF(Import.TipoArredondamento&lt;&gt;"TransfereGOV",VTOTAL1,SUM(OFFSET(CÁLCULO!$AA$15,ROW($X156)-ROW($X$15),1):OFFSET(CÁLCULO!$AL$15,ROW($X156)-ROW($X$15),-1))),IF($C156=0,0,ROUND(SomaAgrup,15-13*$AF$11)))</f>
        <v>7038</v>
      </c>
      <c r="Y156" s="128" t="s">
        <v>245</v>
      </c>
      <c r="Z156" t="str">
        <f ca="1">IF(AND($C156="S",$X156&gt;0),IF(ISBLANK($Y156),"RA",LEFT($Y156,2)),"")</f>
        <v/>
      </c>
      <c r="AA156" s="129">
        <f ca="1">IF($C156="S",IF($Z156="CP",$X156,IF($Z156="RA",(($X156)*QCI!$AA$3),0)),SomaAgrup)</f>
        <v>7038</v>
      </c>
      <c r="AB156" s="130">
        <f ca="1">IF($C156="S",IF($Z156="OU",ROUND($X156,2),0),SomaAgrup)</f>
        <v>0</v>
      </c>
      <c r="AC156" s="131" t="str">
        <f ca="1">IF($N156="","",IF(ORÇAMENTO.Descricao="","DESCRIÇÃO",IF(AND($C156="S",ORÇAMENTO.Unidade=""),"UNIDADE",IF($X156&lt;0,"VALOR NEGATIVO",IF(OR(AND(TIPOORCAMENTO="Proposto",$AG156&lt;&gt;"",$AG156&gt;0,ORÇAMENTO.CustoUnitario&gt;$AG156),AND(TIPOORCAMENTO="LICITADO",ORÇAMENTO.PrecoUnitarioLicitado&gt;$AN156)),"ACIMA REF.","")))))</f>
        <v/>
      </c>
      <c r="AD156">
        <f ca="1">IF(C156&lt;=CRONO.NivelExibicao,MAX($AD$15:OFFSET(AD156,-1,0))+IF($C156&lt;&gt;1,1,MAX(1,COUNTIF(QCI!$A$13:$A$24,OFFSET($E156,-1,0)))),"")</f>
        <v>32</v>
      </c>
      <c r="AE156" s="7" t="b">
        <f ca="1">IF(AND($C156="S",ORÇAMENTO.CodBarra&lt;&gt;""),IF(ORÇAMENTO.Fonte="",ORÇAMENTO.CodBarra,CONCATENATE(ORÇAMENTO.Fonte," ",ORÇAMENTO.CodBarra)))</f>
        <v>0</v>
      </c>
      <c r="AF156" s="13" t="str">
        <f ca="1">IF(ISERROR(INDIRECT(ORÇAMENTO.BancoRef)),"(abra o arquivo 'Referência "&amp;Excel_BuiltIn_Database&amp;".xlsm)",IF(OR($C156&lt;&gt;"S",ORÇAMENTO.CodBarra=""),"(Sem Código)",IF(ISERROR(MATCH($AE156,INDIRECT(ORÇAMENTO.BancoRef),0)),"(Código não identificado nas referências)",MATCH($AE156,INDIRECT(ORÇAMENTO.BancoRef),0))))</f>
        <v>(Sem Código)</v>
      </c>
      <c r="AG156" s="498">
        <f ca="1">ROUND(IF(DESONERACAO="sim",REFERENCIA.Desonerado,REFERENCIA.NaoDesonerado),2)</f>
        <v>0</v>
      </c>
      <c r="AH156" s="499">
        <f ca="1">ROUND(IF(ISNUMBER(ORÇAMENTO.OpcaoBDI),ORÇAMENTO.OpcaoBDI,IF(LEFT(ORÇAMENTO.OpcaoBDI,3)="BDI",HLOOKUP(ORÇAMENTO.OpcaoBDI,$F$4:$H$5,2,FALSE),0)),15-11*$AF$9)</f>
        <v>0.20349999999999999</v>
      </c>
      <c r="AJ156" s="501"/>
      <c r="AL156" s="527"/>
      <c r="AM156" s="381">
        <f t="shared" ca="1" si="124"/>
        <v>7038</v>
      </c>
      <c r="AN156" s="566">
        <f ca="1">ROUND(ORÇAMENTO.CustoUnitario*(1+$AH156),2)</f>
        <v>0</v>
      </c>
    </row>
    <row r="157" spans="1:40" ht="25.5" x14ac:dyDescent="0.2">
      <c r="A157" t="str">
        <f t="shared" si="126"/>
        <v>S</v>
      </c>
      <c r="B157">
        <f t="shared" ca="1" si="130"/>
        <v>2</v>
      </c>
      <c r="C157" t="str">
        <f t="shared" ca="1" si="131"/>
        <v>S</v>
      </c>
      <c r="D157">
        <f t="shared" ca="1" si="132"/>
        <v>0</v>
      </c>
      <c r="E157">
        <f ca="1">IF($C157=1,OFFSET(E157,-1,0)+MAX(1,COUNTIF(QCI!$A$13:$A$24,OFFSET(ORÇAMENTO!E157,-1,0))),OFFSET(E157,-1,0))</f>
        <v>10</v>
      </c>
      <c r="F157">
        <f t="shared" ca="1" si="133"/>
        <v>2</v>
      </c>
      <c r="G157">
        <f t="shared" ca="1" si="134"/>
        <v>0</v>
      </c>
      <c r="H157">
        <f t="shared" ca="1" si="135"/>
        <v>0</v>
      </c>
      <c r="I157">
        <f t="shared" ca="1" si="136"/>
        <v>1</v>
      </c>
      <c r="J157">
        <f ca="1">IF(OR($C157="S",$C157=0),0,MATCH(0,OFFSET($D157,1,$C157,ROW($C$165)-ROW($C157)),0))</f>
        <v>0</v>
      </c>
      <c r="K157">
        <f ca="1">IF(OR($C157="S",$C157=0),0,MATCH(OFFSET($D157,0,$C157)+IF($C157&lt;&gt;1,1,COUNTIF(QCI!$A$13:$A$24,ORÇAMENTO!E157)),OFFSET($D157,1,$C157,ROW($C$165)-ROW($C157)),0))</f>
        <v>0</v>
      </c>
      <c r="L157" s="116" t="str">
        <f t="shared" ca="1" si="137"/>
        <v>F</v>
      </c>
      <c r="M157" s="117" t="s">
        <v>199</v>
      </c>
      <c r="N157" s="118" t="str">
        <f t="shared" ca="1" si="138"/>
        <v>Serviço</v>
      </c>
      <c r="O157" s="119" t="str">
        <f t="shared" ca="1" si="139"/>
        <v>10.2.1.</v>
      </c>
      <c r="P157" s="120" t="s">
        <v>247</v>
      </c>
      <c r="Q157" s="121" t="s">
        <v>549</v>
      </c>
      <c r="R157" s="122" t="str">
        <f ca="1">IF($C157="S",REFERENCIA.Descricao,"(digite a descrição aqui)")</f>
        <v>DISJUNTOR BIPOLAR TIPO DIN, CORRENTE NOMINAL DE 20A - FORNECIMENTO E INSTALAÇÃO. AF_07/2025</v>
      </c>
      <c r="S157" s="123" t="str">
        <f ca="1">REFERENCIA.Unidade</f>
        <v>UN</v>
      </c>
      <c r="T157" s="124">
        <f ca="1">OFFSET(CÁLCULO!H$15,ROW($T157)-ROW(T$15),0)</f>
        <v>1</v>
      </c>
      <c r="U157" s="125">
        <f t="shared" ca="1" si="120"/>
        <v>59.43</v>
      </c>
      <c r="V157" s="126" t="s">
        <v>156</v>
      </c>
      <c r="W157" s="124">
        <f ca="1">IF($C157="S",ROUND(IF(TIPOORCAMENTO="Proposto",ORÇAMENTO.CustoUnitario*(1+$AH157),ORÇAMENTO.PrecoUnitarioLicitado),15-13*$AF$10),0)</f>
        <v>71.52</v>
      </c>
      <c r="X157" s="127">
        <f ca="1">IF($C157="S",IF(Import.TipoArredondamento&lt;&gt;"TransfereGOV",VTOTAL1,SUM(OFFSET(CÁLCULO!$AA$15,ROW($X157)-ROW($X$15),1):OFFSET(CÁLCULO!$AL$15,ROW($X157)-ROW($X$15),-1))),IF($C157=0,0,ROUND(SomaAgrup,15-13*$AF$11)))</f>
        <v>71.52</v>
      </c>
      <c r="Y157" s="128" t="s">
        <v>245</v>
      </c>
      <c r="Z157" t="str">
        <f t="shared" ca="1" si="140"/>
        <v>RA</v>
      </c>
      <c r="AA157" s="129">
        <f ca="1">IF($C157="S",IF($Z157="CP",$X157,IF($Z157="RA",(($X157)*QCI!$AA$3),0)),SomaAgrup)</f>
        <v>71.52</v>
      </c>
      <c r="AB157" s="130">
        <f t="shared" ca="1" si="127"/>
        <v>0</v>
      </c>
      <c r="AC157" s="131" t="str">
        <f ca="1">IF($N157="","",IF(ORÇAMENTO.Descricao="","DESCRIÇÃO",IF(AND($C157="S",ORÇAMENTO.Unidade=""),"UNIDADE",IF($X157&lt;0,"VALOR NEGATIVO",IF(OR(AND(TIPOORCAMENTO="Proposto",$AG157&lt;&gt;"",$AG157&gt;0,ORÇAMENTO.CustoUnitario&gt;$AG157),AND(TIPOORCAMENTO="LICITADO",ORÇAMENTO.PrecoUnitarioLicitado&gt;$AN157)),"ACIMA REF.","")))))</f>
        <v/>
      </c>
      <c r="AD157" t="str">
        <f ca="1">IF(C157&lt;=CRONO.NivelExibicao,MAX($AD$15:OFFSET(AD157,-1,0))+IF($C157&lt;&gt;1,1,MAX(1,COUNTIF(QCI!$A$13:$A$24,OFFSET($E157,-1,0)))),"")</f>
        <v/>
      </c>
      <c r="AE157" s="7" t="str">
        <f ca="1">IF(AND($C157="S",ORÇAMENTO.CodBarra&lt;&gt;""),IF(ORÇAMENTO.Fonte="",ORÇAMENTO.CodBarra,CONCATENATE(ORÇAMENTO.Fonte," ",ORÇAMENTO.CodBarra)))</f>
        <v>SINAPI 93662</v>
      </c>
      <c r="AF157" s="13">
        <f ca="1">IF(ISERROR(INDIRECT(ORÇAMENTO.BancoRef)),"(abra o arquivo 'Referência "&amp;Excel_BuiltIn_Database&amp;".xlsm)",IF(OR($C157&lt;&gt;"S",ORÇAMENTO.CodBarra=""),"(Sem Código)",IF(ISERROR(MATCH($AE157,INDIRECT(ORÇAMENTO.BancoRef),0)),"(Código não identificado nas referências)",MATCH($AE157,INDIRECT(ORÇAMENTO.BancoRef),0))))</f>
        <v>11155</v>
      </c>
      <c r="AG157" s="498">
        <f ca="1">ROUND(IF(DESONERACAO="sim",REFERENCIA.Desonerado,REFERENCIA.NaoDesonerado),2)</f>
        <v>59.43</v>
      </c>
      <c r="AH157" s="499">
        <f t="shared" ca="1" si="128"/>
        <v>0.20349999999999999</v>
      </c>
      <c r="AJ157" s="501">
        <v>1</v>
      </c>
      <c r="AL157" s="527"/>
      <c r="AM157" s="381">
        <f t="shared" ca="1" si="124"/>
        <v>71.52</v>
      </c>
      <c r="AN157" s="566">
        <f t="shared" ca="1" si="129"/>
        <v>71.52</v>
      </c>
    </row>
    <row r="158" spans="1:40" ht="38.25" x14ac:dyDescent="0.2">
      <c r="A158" t="str">
        <f t="shared" si="126"/>
        <v>S</v>
      </c>
      <c r="B158">
        <f t="shared" ca="1" si="130"/>
        <v>2</v>
      </c>
      <c r="C158" t="str">
        <f t="shared" ca="1" si="131"/>
        <v>S</v>
      </c>
      <c r="D158">
        <f t="shared" ca="1" si="132"/>
        <v>0</v>
      </c>
      <c r="E158">
        <f ca="1">IF($C158=1,OFFSET(E158,-1,0)+MAX(1,COUNTIF(QCI!$A$13:$A$24,OFFSET(ORÇAMENTO!E158,-1,0))),OFFSET(E158,-1,0))</f>
        <v>10</v>
      </c>
      <c r="F158">
        <f t="shared" ca="1" si="133"/>
        <v>2</v>
      </c>
      <c r="G158">
        <f t="shared" ca="1" si="134"/>
        <v>0</v>
      </c>
      <c r="H158">
        <f t="shared" ca="1" si="135"/>
        <v>0</v>
      </c>
      <c r="I158">
        <f t="shared" ca="1" si="136"/>
        <v>2</v>
      </c>
      <c r="J158">
        <f ca="1">IF(OR($C158="S",$C158=0),0,MATCH(0,OFFSET($D158,1,$C158,ROW($C$165)-ROW($C158)),0))</f>
        <v>0</v>
      </c>
      <c r="K158">
        <f ca="1">IF(OR($C158="S",$C158=0),0,MATCH(OFFSET($D158,0,$C158)+IF($C158&lt;&gt;1,1,COUNTIF(QCI!$A$13:$A$24,ORÇAMENTO!E158)),OFFSET($D158,1,$C158,ROW($C$165)-ROW($C158)),0))</f>
        <v>0</v>
      </c>
      <c r="L158" s="116" t="str">
        <f t="shared" ca="1" si="137"/>
        <v>F</v>
      </c>
      <c r="M158" s="117" t="s">
        <v>199</v>
      </c>
      <c r="N158" s="118" t="str">
        <f t="shared" ca="1" si="138"/>
        <v>Serviço</v>
      </c>
      <c r="O158" s="119" t="str">
        <f t="shared" ca="1" si="139"/>
        <v>10.2.2.</v>
      </c>
      <c r="P158" s="120" t="s">
        <v>449</v>
      </c>
      <c r="Q158" s="121" t="s">
        <v>593</v>
      </c>
      <c r="R158" s="122" t="str">
        <f ca="1">IF($C158="S",REFERENCIA.Descricao,"(digite a descrição aqui)")</f>
        <v>CAIXA DE INSPECAO PARA ATERRAMENTO E PARA RAIOS, EM POLIPROPILENO, DIAMETRO = 300 MM X ALTURA = 400 MM (INCLUIDA TAMPA SEM ESCOTILHA)</v>
      </c>
      <c r="S158" s="123" t="str">
        <f ca="1">REFERENCIA.Unidade</f>
        <v>UN</v>
      </c>
      <c r="T158" s="124">
        <f ca="1">OFFSET(CÁLCULO!H$15,ROW($T158)-ROW(T$15),0)</f>
        <v>6</v>
      </c>
      <c r="U158" s="125">
        <f t="shared" ca="1" si="120"/>
        <v>47.35</v>
      </c>
      <c r="V158" s="126" t="s">
        <v>156</v>
      </c>
      <c r="W158" s="124">
        <f ca="1">IF($C158="S",ROUND(IF(TIPOORCAMENTO="Proposto",ORÇAMENTO.CustoUnitario*(1+$AH158),ORÇAMENTO.PrecoUnitarioLicitado),15-13*$AF$10),0)</f>
        <v>56.99</v>
      </c>
      <c r="X158" s="127">
        <f ca="1">IF($C158="S",IF(Import.TipoArredondamento&lt;&gt;"TransfereGOV",VTOTAL1,SUM(OFFSET(CÁLCULO!$AA$15,ROW($X158)-ROW($X$15),1):OFFSET(CÁLCULO!$AL$15,ROW($X158)-ROW($X$15),-1))),IF($C158=0,0,ROUND(SomaAgrup,15-13*$AF$11)))</f>
        <v>341.94</v>
      </c>
      <c r="Y158" s="128" t="s">
        <v>245</v>
      </c>
      <c r="Z158" t="str">
        <f t="shared" ca="1" si="140"/>
        <v>RA</v>
      </c>
      <c r="AA158" s="129">
        <f ca="1">IF($C158="S",IF($Z158="CP",$X158,IF($Z158="RA",(($X158)*QCI!$AA$3),0)),SomaAgrup)</f>
        <v>341.94</v>
      </c>
      <c r="AB158" s="130">
        <f t="shared" ca="1" si="127"/>
        <v>0</v>
      </c>
      <c r="AC158" s="131" t="str">
        <f ca="1">IF($N158="","",IF(ORÇAMENTO.Descricao="","DESCRIÇÃO",IF(AND($C158="S",ORÇAMENTO.Unidade=""),"UNIDADE",IF($X158&lt;0,"VALOR NEGATIVO",IF(OR(AND(TIPOORCAMENTO="Proposto",$AG158&lt;&gt;"",$AG158&gt;0,ORÇAMENTO.CustoUnitario&gt;$AG158),AND(TIPOORCAMENTO="LICITADO",ORÇAMENTO.PrecoUnitarioLicitado&gt;$AN158)),"ACIMA REF.","")))))</f>
        <v/>
      </c>
      <c r="AD158" t="str">
        <f ca="1">IF(C158&lt;=CRONO.NivelExibicao,MAX($AD$15:OFFSET(AD158,-1,0))+IF($C158&lt;&gt;1,1,MAX(1,COUNTIF(QCI!$A$13:$A$24,OFFSET($E158,-1,0)))),"")</f>
        <v/>
      </c>
      <c r="AE158" s="7" t="str">
        <f ca="1">IF(AND($C158="S",ORÇAMENTO.CodBarra&lt;&gt;""),IF(ORÇAMENTO.Fonte="",ORÇAMENTO.CodBarra,CONCATENATE(ORÇAMENTO.Fonte," ",ORÇAMENTO.CodBarra)))</f>
        <v>SINAPI-I 34643</v>
      </c>
      <c r="AF158" s="13">
        <f ca="1">IF(ISERROR(INDIRECT(ORÇAMENTO.BancoRef)),"(abra o arquivo 'Referência "&amp;Excel_BuiltIn_Database&amp;".xlsm)",IF(OR($C158&lt;&gt;"S",ORÇAMENTO.CodBarra=""),"(Sem Código)",IF(ISERROR(MATCH($AE158,INDIRECT(ORÇAMENTO.BancoRef),0)),"(Código não identificado nas referências)",MATCH($AE158,INDIRECT(ORÇAMENTO.BancoRef),0))))</f>
        <v>879</v>
      </c>
      <c r="AG158" s="498">
        <f ca="1">ROUND(IF(DESONERACAO="sim",REFERENCIA.Desonerado,REFERENCIA.NaoDesonerado),2)</f>
        <v>47.35</v>
      </c>
      <c r="AH158" s="499">
        <f t="shared" ca="1" si="128"/>
        <v>0.20349999999999999</v>
      </c>
      <c r="AJ158" s="501">
        <v>6</v>
      </c>
      <c r="AL158" s="527"/>
      <c r="AM158" s="381">
        <f t="shared" ca="1" si="124"/>
        <v>341.94</v>
      </c>
      <c r="AN158" s="566">
        <f t="shared" ca="1" si="129"/>
        <v>56.99</v>
      </c>
    </row>
    <row r="159" spans="1:40" ht="25.5" x14ac:dyDescent="0.2">
      <c r="A159" t="str">
        <f t="shared" si="126"/>
        <v>S</v>
      </c>
      <c r="B159">
        <f t="shared" ca="1" si="130"/>
        <v>2</v>
      </c>
      <c r="C159" t="str">
        <f t="shared" ca="1" si="131"/>
        <v>S</v>
      </c>
      <c r="D159">
        <f t="shared" ca="1" si="132"/>
        <v>0</v>
      </c>
      <c r="E159">
        <f ca="1">IF($C159=1,OFFSET(E159,-1,0)+MAX(1,COUNTIF(QCI!$A$13:$A$24,OFFSET(ORÇAMENTO!E159,-1,0))),OFFSET(E159,-1,0))</f>
        <v>10</v>
      </c>
      <c r="F159">
        <f t="shared" ca="1" si="133"/>
        <v>2</v>
      </c>
      <c r="G159">
        <f t="shared" ca="1" si="134"/>
        <v>0</v>
      </c>
      <c r="H159">
        <f t="shared" ca="1" si="135"/>
        <v>0</v>
      </c>
      <c r="I159">
        <f t="shared" ca="1" si="136"/>
        <v>3</v>
      </c>
      <c r="J159">
        <f ca="1">IF(OR($C159="S",$C159=0),0,MATCH(0,OFFSET($D159,1,$C159,ROW($C$165)-ROW($C159)),0))</f>
        <v>0</v>
      </c>
      <c r="K159">
        <f ca="1">IF(OR($C159="S",$C159=0),0,MATCH(OFFSET($D159,0,$C159)+IF($C159&lt;&gt;1,1,COUNTIF(QCI!$A$13:$A$24,ORÇAMENTO!E159)),OFFSET($D159,1,$C159,ROW($C$165)-ROW($C159)),0))</f>
        <v>0</v>
      </c>
      <c r="L159" s="116" t="str">
        <f t="shared" ca="1" si="137"/>
        <v>F</v>
      </c>
      <c r="M159" s="117" t="s">
        <v>199</v>
      </c>
      <c r="N159" s="118" t="str">
        <f t="shared" ca="1" si="138"/>
        <v>Serviço</v>
      </c>
      <c r="O159" s="119" t="str">
        <f t="shared" ca="1" si="139"/>
        <v>10.2.3.</v>
      </c>
      <c r="P159" s="120" t="s">
        <v>247</v>
      </c>
      <c r="Q159" s="121" t="s">
        <v>594</v>
      </c>
      <c r="R159" s="122" t="str">
        <f ca="1">IF($C159="S",REFERENCIA.Descricao,"(digite a descrição aqui)")</f>
        <v>HASTE DE ATERRAMENTO, DIÂMETRO 5/8", COM 3 METROS - FORNECIMENTO E INSTALAÇÃO. AF_08/2023</v>
      </c>
      <c r="S159" s="123" t="str">
        <f ca="1">REFERENCIA.Unidade</f>
        <v>UN</v>
      </c>
      <c r="T159" s="124">
        <f ca="1">OFFSET(CÁLCULO!H$15,ROW($T159)-ROW(T$15),0)</f>
        <v>6</v>
      </c>
      <c r="U159" s="125">
        <f t="shared" ca="1" si="120"/>
        <v>80.209999999999994</v>
      </c>
      <c r="V159" s="126" t="s">
        <v>156</v>
      </c>
      <c r="W159" s="124">
        <f ca="1">IF($C159="S",ROUND(IF(TIPOORCAMENTO="Proposto",ORÇAMENTO.CustoUnitario*(1+$AH159),ORÇAMENTO.PrecoUnitarioLicitado),15-13*$AF$10),0)</f>
        <v>96.53</v>
      </c>
      <c r="X159" s="127">
        <f ca="1">IF($C159="S",IF(Import.TipoArredondamento&lt;&gt;"TransfereGOV",VTOTAL1,SUM(OFFSET(CÁLCULO!$AA$15,ROW($X159)-ROW($X$15),1):OFFSET(CÁLCULO!$AL$15,ROW($X159)-ROW($X$15),-1))),IF($C159=0,0,ROUND(SomaAgrup,15-13*$AF$11)))</f>
        <v>579.17999999999995</v>
      </c>
      <c r="Y159" s="128" t="s">
        <v>245</v>
      </c>
      <c r="Z159" t="str">
        <f t="shared" ca="1" si="140"/>
        <v>RA</v>
      </c>
      <c r="AA159" s="129">
        <f ca="1">IF($C159="S",IF($Z159="CP",$X159,IF($Z159="RA",(($X159)*QCI!$AA$3),0)),SomaAgrup)</f>
        <v>579.17999999999995</v>
      </c>
      <c r="AB159" s="130">
        <f t="shared" ca="1" si="127"/>
        <v>0</v>
      </c>
      <c r="AC159" s="131" t="str">
        <f ca="1">IF($N159="","",IF(ORÇAMENTO.Descricao="","DESCRIÇÃO",IF(AND($C159="S",ORÇAMENTO.Unidade=""),"UNIDADE",IF($X159&lt;0,"VALOR NEGATIVO",IF(OR(AND(TIPOORCAMENTO="Proposto",$AG159&lt;&gt;"",$AG159&gt;0,ORÇAMENTO.CustoUnitario&gt;$AG159),AND(TIPOORCAMENTO="LICITADO",ORÇAMENTO.PrecoUnitarioLicitado&gt;$AN159)),"ACIMA REF.","")))))</f>
        <v/>
      </c>
      <c r="AD159" t="str">
        <f ca="1">IF(C159&lt;=CRONO.NivelExibicao,MAX($AD$15:OFFSET(AD159,-1,0))+IF($C159&lt;&gt;1,1,MAX(1,COUNTIF(QCI!$A$13:$A$24,OFFSET($E159,-1,0)))),"")</f>
        <v/>
      </c>
      <c r="AE159" s="7" t="str">
        <f ca="1">IF(AND($C159="S",ORÇAMENTO.CodBarra&lt;&gt;""),IF(ORÇAMENTO.Fonte="",ORÇAMENTO.CodBarra,CONCATENATE(ORÇAMENTO.Fonte," ",ORÇAMENTO.CodBarra)))</f>
        <v>SINAPI 96985</v>
      </c>
      <c r="AF159" s="13">
        <f ca="1">IF(ISERROR(INDIRECT(ORÇAMENTO.BancoRef)),"(abra o arquivo 'Referência "&amp;Excel_BuiltIn_Database&amp;".xlsm)",IF(OR($C159&lt;&gt;"S",ORÇAMENTO.CodBarra=""),"(Sem Código)",IF(ISERROR(MATCH($AE159,INDIRECT(ORÇAMENTO.BancoRef),0)),"(Código não identificado nas referências)",MATCH($AE159,INDIRECT(ORÇAMENTO.BancoRef),0))))</f>
        <v>15669</v>
      </c>
      <c r="AG159" s="498">
        <f ca="1">ROUND(IF(DESONERACAO="sim",REFERENCIA.Desonerado,REFERENCIA.NaoDesonerado),2)</f>
        <v>80.209999999999994</v>
      </c>
      <c r="AH159" s="499">
        <f t="shared" ca="1" si="128"/>
        <v>0.20349999999999999</v>
      </c>
      <c r="AJ159" s="501">
        <v>6</v>
      </c>
      <c r="AL159" s="527"/>
      <c r="AM159" s="381">
        <f t="shared" ca="1" si="124"/>
        <v>579.17999999999995</v>
      </c>
      <c r="AN159" s="566">
        <f t="shared" ca="1" si="129"/>
        <v>96.53</v>
      </c>
    </row>
    <row r="160" spans="1:40" ht="38.25" x14ac:dyDescent="0.2">
      <c r="A160" t="str">
        <f t="shared" si="126"/>
        <v>S</v>
      </c>
      <c r="B160">
        <f t="shared" ca="1" si="130"/>
        <v>2</v>
      </c>
      <c r="C160" t="str">
        <f t="shared" ca="1" si="131"/>
        <v>S</v>
      </c>
      <c r="D160">
        <f t="shared" ca="1" si="132"/>
        <v>0</v>
      </c>
      <c r="E160">
        <f ca="1">IF($C160=1,OFFSET(E160,-1,0)+MAX(1,COUNTIF(QCI!$A$13:$A$24,OFFSET(ORÇAMENTO!E160,-1,0))),OFFSET(E160,-1,0))</f>
        <v>10</v>
      </c>
      <c r="F160">
        <f t="shared" ca="1" si="133"/>
        <v>2</v>
      </c>
      <c r="G160">
        <f t="shared" ca="1" si="134"/>
        <v>0</v>
      </c>
      <c r="H160">
        <f t="shared" ca="1" si="135"/>
        <v>0</v>
      </c>
      <c r="I160">
        <f t="shared" ca="1" si="136"/>
        <v>4</v>
      </c>
      <c r="J160">
        <f ca="1">IF(OR($C160="S",$C160=0),0,MATCH(0,OFFSET($D160,1,$C160,ROW($C$165)-ROW($C160)),0))</f>
        <v>0</v>
      </c>
      <c r="K160">
        <f ca="1">IF(OR($C160="S",$C160=0),0,MATCH(OFFSET($D160,0,$C160)+IF($C160&lt;&gt;1,1,COUNTIF(QCI!$A$13:$A$24,ORÇAMENTO!E160)),OFFSET($D160,1,$C160,ROW($C$165)-ROW($C160)),0))</f>
        <v>0</v>
      </c>
      <c r="L160" s="116" t="str">
        <f t="shared" ca="1" si="137"/>
        <v>F</v>
      </c>
      <c r="M160" s="117" t="s">
        <v>199</v>
      </c>
      <c r="N160" s="118" t="str">
        <f t="shared" ca="1" si="138"/>
        <v>Serviço</v>
      </c>
      <c r="O160" s="119" t="str">
        <f t="shared" ca="1" si="139"/>
        <v>10.2.4.</v>
      </c>
      <c r="P160" s="120" t="s">
        <v>247</v>
      </c>
      <c r="Q160" s="121" t="s">
        <v>581</v>
      </c>
      <c r="R160" s="122" t="str">
        <f ca="1">IF($C160="S",REFERENCIA.Descricao,"(digite a descrição aqui)")</f>
        <v>CABO DE COBRE FLEXÍVEL ISOLADO, 2,5 MM², ANTI-CHAMA 450/750 V, PARA CIRCUITOS TERMINAIS - FORNECIMENTO E INSTALAÇÃO. AF_03/2023</v>
      </c>
      <c r="S160" s="123" t="str">
        <f ca="1">REFERENCIA.Unidade</f>
        <v>M</v>
      </c>
      <c r="T160" s="124">
        <f ca="1">OFFSET(CÁLCULO!H$15,ROW($T160)-ROW(T$15),0)</f>
        <v>363</v>
      </c>
      <c r="U160" s="125">
        <f t="shared" ca="1" si="120"/>
        <v>5.75</v>
      </c>
      <c r="V160" s="126" t="s">
        <v>156</v>
      </c>
      <c r="W160" s="124">
        <f ca="1">IF($C160="S",ROUND(IF(TIPOORCAMENTO="Proposto",ORÇAMENTO.CustoUnitario*(1+$AH160),ORÇAMENTO.PrecoUnitarioLicitado),15-13*$AF$10),0)</f>
        <v>6.92</v>
      </c>
      <c r="X160" s="127">
        <f ca="1">IF($C160="S",IF(Import.TipoArredondamento&lt;&gt;"TransfereGOV",VTOTAL1,SUM(OFFSET(CÁLCULO!$AA$15,ROW($X160)-ROW($X$15),1):OFFSET(CÁLCULO!$AL$15,ROW($X160)-ROW($X$15),-1))),IF($C160=0,0,ROUND(SomaAgrup,15-13*$AF$11)))</f>
        <v>2511.96</v>
      </c>
      <c r="Y160" s="128" t="s">
        <v>245</v>
      </c>
      <c r="Z160" t="str">
        <f t="shared" ca="1" si="140"/>
        <v>RA</v>
      </c>
      <c r="AA160" s="129">
        <f ca="1">IF($C160="S",IF($Z160="CP",$X160,IF($Z160="RA",(($X160)*QCI!$AA$3),0)),SomaAgrup)</f>
        <v>2511.96</v>
      </c>
      <c r="AB160" s="130">
        <f t="shared" ca="1" si="127"/>
        <v>0</v>
      </c>
      <c r="AC160" s="131" t="str">
        <f ca="1">IF($N160="","",IF(ORÇAMENTO.Descricao="","DESCRIÇÃO",IF(AND($C160="S",ORÇAMENTO.Unidade=""),"UNIDADE",IF($X160&lt;0,"VALOR NEGATIVO",IF(OR(AND(TIPOORCAMENTO="Proposto",$AG160&lt;&gt;"",$AG160&gt;0,ORÇAMENTO.CustoUnitario&gt;$AG160),AND(TIPOORCAMENTO="LICITADO",ORÇAMENTO.PrecoUnitarioLicitado&gt;$AN160)),"ACIMA REF.","")))))</f>
        <v/>
      </c>
      <c r="AD160" t="str">
        <f ca="1">IF(C160&lt;=CRONO.NivelExibicao,MAX($AD$15:OFFSET(AD160,-1,0))+IF($C160&lt;&gt;1,1,MAX(1,COUNTIF(QCI!$A$13:$A$24,OFFSET($E160,-1,0)))),"")</f>
        <v/>
      </c>
      <c r="AE160" s="7" t="str">
        <f ca="1">IF(AND($C160="S",ORÇAMENTO.CodBarra&lt;&gt;""),IF(ORÇAMENTO.Fonte="",ORÇAMENTO.CodBarra,CONCATENATE(ORÇAMENTO.Fonte," ",ORÇAMENTO.CodBarra)))</f>
        <v>SINAPI 91926</v>
      </c>
      <c r="AF160" s="13">
        <f ca="1">IF(ISERROR(INDIRECT(ORÇAMENTO.BancoRef)),"(abra o arquivo 'Referência "&amp;Excel_BuiltIn_Database&amp;".xlsm)",IF(OR($C160&lt;&gt;"S",ORÇAMENTO.CodBarra=""),"(Sem Código)",IF(ISERROR(MATCH($AE160,INDIRECT(ORÇAMENTO.BancoRef),0)),"(Código não identificado nas referências)",MATCH($AE160,INDIRECT(ORÇAMENTO.BancoRef),0))))</f>
        <v>10850</v>
      </c>
      <c r="AG160" s="498">
        <f ca="1">ROUND(IF(DESONERACAO="sim",REFERENCIA.Desonerado,REFERENCIA.NaoDesonerado),2)</f>
        <v>5.75</v>
      </c>
      <c r="AH160" s="499">
        <f t="shared" ca="1" si="128"/>
        <v>0.20349999999999999</v>
      </c>
      <c r="AJ160" s="501">
        <f>121*3</f>
        <v>363</v>
      </c>
      <c r="AL160" s="527"/>
      <c r="AM160" s="381">
        <f t="shared" ca="1" si="124"/>
        <v>2511.96</v>
      </c>
      <c r="AN160" s="566">
        <f t="shared" ca="1" si="129"/>
        <v>6.92</v>
      </c>
    </row>
    <row r="161" spans="1:40" ht="25.5" x14ac:dyDescent="0.2">
      <c r="A161" t="str">
        <f t="shared" si="126"/>
        <v>S</v>
      </c>
      <c r="B161">
        <f t="shared" ca="1" si="130"/>
        <v>2</v>
      </c>
      <c r="C161" t="str">
        <f t="shared" ca="1" si="131"/>
        <v>S</v>
      </c>
      <c r="D161">
        <f t="shared" ca="1" si="132"/>
        <v>0</v>
      </c>
      <c r="E161">
        <f ca="1">IF($C161=1,OFFSET(E161,-1,0)+MAX(1,COUNTIF(QCI!$A$13:$A$24,OFFSET(ORÇAMENTO!E161,-1,0))),OFFSET(E161,-1,0))</f>
        <v>10</v>
      </c>
      <c r="F161">
        <f t="shared" ca="1" si="133"/>
        <v>2</v>
      </c>
      <c r="G161">
        <f t="shared" ca="1" si="134"/>
        <v>0</v>
      </c>
      <c r="H161">
        <f t="shared" ca="1" si="135"/>
        <v>0</v>
      </c>
      <c r="I161">
        <f t="shared" ca="1" si="136"/>
        <v>5</v>
      </c>
      <c r="J161">
        <f ca="1">IF(OR($C161="S",$C161=0),0,MATCH(0,OFFSET($D161,1,$C161,ROW($C$165)-ROW($C161)),0))</f>
        <v>0</v>
      </c>
      <c r="K161">
        <f ca="1">IF(OR($C161="S",$C161=0),0,MATCH(OFFSET($D161,0,$C161)+IF($C161&lt;&gt;1,1,COUNTIF(QCI!$A$13:$A$24,ORÇAMENTO!E161)),OFFSET($D161,1,$C161,ROW($C$165)-ROW($C161)),0))</f>
        <v>0</v>
      </c>
      <c r="L161" s="116" t="str">
        <f t="shared" ca="1" si="137"/>
        <v>F</v>
      </c>
      <c r="M161" s="117" t="s">
        <v>199</v>
      </c>
      <c r="N161" s="118" t="str">
        <f t="shared" ca="1" si="138"/>
        <v>Serviço</v>
      </c>
      <c r="O161" s="119" t="str">
        <f t="shared" ca="1" si="139"/>
        <v>10.2.5.</v>
      </c>
      <c r="P161" s="120" t="s">
        <v>449</v>
      </c>
      <c r="Q161" s="121" t="s">
        <v>580</v>
      </c>
      <c r="R161" s="122" t="str">
        <f ca="1">IF($C161="S",REFERENCIA.Descricao,"(digite a descrição aqui)")</f>
        <v>ELETRODUTO PVC FLEXIVEL CORRUGADO, REFORCADO, COR LARANJA, DE 20 MM, PARA LAJES E PISOS</v>
      </c>
      <c r="S161" s="123" t="str">
        <f ca="1">REFERENCIA.Unidade</f>
        <v>M</v>
      </c>
      <c r="T161" s="124">
        <f ca="1">OFFSET(CÁLCULO!H$15,ROW($T161)-ROW(T$15),0)</f>
        <v>132</v>
      </c>
      <c r="U161" s="125">
        <f t="shared" ca="1" si="120"/>
        <v>2.52</v>
      </c>
      <c r="V161" s="126" t="s">
        <v>156</v>
      </c>
      <c r="W161" s="124">
        <f ca="1">IF($C161="S",ROUND(IF(TIPOORCAMENTO="Proposto",ORÇAMENTO.CustoUnitario*(1+$AH161),ORÇAMENTO.PrecoUnitarioLicitado),15-13*$AF$10),0)</f>
        <v>3.03</v>
      </c>
      <c r="X161" s="127">
        <f ca="1">IF($C161="S",IF(Import.TipoArredondamento&lt;&gt;"TransfereGOV",VTOTAL1,SUM(OFFSET(CÁLCULO!$AA$15,ROW($X161)-ROW($X$15),1):OFFSET(CÁLCULO!$AL$15,ROW($X161)-ROW($X$15),-1))),IF($C161=0,0,ROUND(SomaAgrup,15-13*$AF$11)))</f>
        <v>399.96</v>
      </c>
      <c r="Y161" s="128" t="s">
        <v>245</v>
      </c>
      <c r="Z161" t="str">
        <f t="shared" ca="1" si="140"/>
        <v>RA</v>
      </c>
      <c r="AA161" s="129">
        <f ca="1">IF($C161="S",IF($Z161="CP",$X161,IF($Z161="RA",(($X161)*QCI!$AA$3),0)),SomaAgrup)</f>
        <v>399.96</v>
      </c>
      <c r="AB161" s="130">
        <f t="shared" ca="1" si="127"/>
        <v>0</v>
      </c>
      <c r="AC161" s="131" t="str">
        <f ca="1">IF($N161="","",IF(ORÇAMENTO.Descricao="","DESCRIÇÃO",IF(AND($C161="S",ORÇAMENTO.Unidade=""),"UNIDADE",IF($X161&lt;0,"VALOR NEGATIVO",IF(OR(AND(TIPOORCAMENTO="Proposto",$AG161&lt;&gt;"",$AG161&gt;0,ORÇAMENTO.CustoUnitario&gt;$AG161),AND(TIPOORCAMENTO="LICITADO",ORÇAMENTO.PrecoUnitarioLicitado&gt;$AN161)),"ACIMA REF.","")))))</f>
        <v/>
      </c>
      <c r="AD161" t="str">
        <f ca="1">IF(C161&lt;=CRONO.NivelExibicao,MAX($AD$15:OFFSET(AD161,-1,0))+IF($C161&lt;&gt;1,1,MAX(1,COUNTIF(QCI!$A$13:$A$24,OFFSET($E161,-1,0)))),"")</f>
        <v/>
      </c>
      <c r="AE161" s="7" t="str">
        <f ca="1">IF(AND($C161="S",ORÇAMENTO.CodBarra&lt;&gt;""),IF(ORÇAMENTO.Fonte="",ORÇAMENTO.CodBarra,CONCATENATE(ORÇAMENTO.Fonte," ",ORÇAMENTO.CodBarra)))</f>
        <v>SINAPI-I 39243</v>
      </c>
      <c r="AF161" s="13">
        <f ca="1">IF(ISERROR(INDIRECT(ORÇAMENTO.BancoRef)),"(abra o arquivo 'Referência "&amp;Excel_BuiltIn_Database&amp;".xlsm)",IF(OR($C161&lt;&gt;"S",ORÇAMENTO.CodBarra=""),"(Sem Código)",IF(ISERROR(MATCH($AE161,INDIRECT(ORÇAMENTO.BancoRef),0)),"(Código não identificado nas referências)",MATCH($AE161,INDIRECT(ORÇAMENTO.BancoRef),0))))</f>
        <v>1882</v>
      </c>
      <c r="AG161" s="498">
        <f ca="1">ROUND(IF(DESONERACAO="sim",REFERENCIA.Desonerado,REFERENCIA.NaoDesonerado),2)</f>
        <v>2.52</v>
      </c>
      <c r="AH161" s="499">
        <f t="shared" ca="1" si="128"/>
        <v>0.20349999999999999</v>
      </c>
      <c r="AJ161" s="501">
        <v>132</v>
      </c>
      <c r="AL161" s="527"/>
      <c r="AM161" s="381">
        <f t="shared" ca="1" si="124"/>
        <v>399.96</v>
      </c>
      <c r="AN161" s="566">
        <f t="shared" ca="1" si="129"/>
        <v>3.03</v>
      </c>
    </row>
    <row r="162" spans="1:40" x14ac:dyDescent="0.2">
      <c r="A162" t="str">
        <f t="shared" si="126"/>
        <v>S</v>
      </c>
      <c r="B162">
        <f t="shared" ca="1" si="130"/>
        <v>2</v>
      </c>
      <c r="C162" t="str">
        <f t="shared" ca="1" si="131"/>
        <v>S</v>
      </c>
      <c r="D162">
        <f t="shared" ca="1" si="132"/>
        <v>0</v>
      </c>
      <c r="E162">
        <f ca="1">IF($C162=1,OFFSET(E162,-1,0)+MAX(1,COUNTIF(QCI!$A$13:$A$24,OFFSET(ORÇAMENTO!E162,-1,0))),OFFSET(E162,-1,0))</f>
        <v>10</v>
      </c>
      <c r="F162">
        <f t="shared" ca="1" si="133"/>
        <v>2</v>
      </c>
      <c r="G162">
        <f t="shared" ca="1" si="134"/>
        <v>0</v>
      </c>
      <c r="H162">
        <f t="shared" ca="1" si="135"/>
        <v>0</v>
      </c>
      <c r="I162">
        <f t="shared" ca="1" si="136"/>
        <v>6</v>
      </c>
      <c r="J162">
        <f ca="1">IF(OR($C162="S",$C162=0),0,MATCH(0,OFFSET($D162,1,$C162,ROW($C$165)-ROW($C162)),0))</f>
        <v>0</v>
      </c>
      <c r="K162">
        <f ca="1">IF(OR($C162="S",$C162=0),0,MATCH(OFFSET($D162,0,$C162)+IF($C162&lt;&gt;1,1,COUNTIF(QCI!$A$13:$A$24,ORÇAMENTO!E162)),OFFSET($D162,1,$C162,ROW($C$165)-ROW($C162)),0))</f>
        <v>0</v>
      </c>
      <c r="L162" s="116" t="str">
        <f t="shared" ca="1" si="137"/>
        <v>F</v>
      </c>
      <c r="M162" s="117" t="s">
        <v>199</v>
      </c>
      <c r="N162" s="118" t="str">
        <f t="shared" ca="1" si="138"/>
        <v>Serviço</v>
      </c>
      <c r="O162" s="119" t="str">
        <f t="shared" ca="1" si="139"/>
        <v>10.2.6.</v>
      </c>
      <c r="P162" s="120" t="s">
        <v>582</v>
      </c>
      <c r="Q162" s="121" t="s">
        <v>545</v>
      </c>
      <c r="R162" s="122" t="str">
        <f ca="1">IF($C162="S",REFERENCIA.Descricao,"(digite a descrição aqui)")</f>
        <v>REFLETOR 600W HOLOFOTE LED 5000LM IP66</v>
      </c>
      <c r="S162" s="123" t="str">
        <f ca="1">REFERENCIA.Unidade</f>
        <v>UN</v>
      </c>
      <c r="T162" s="124">
        <f ca="1">OFFSET(CÁLCULO!H$15,ROW($T162)-ROW(T$15),0)</f>
        <v>12</v>
      </c>
      <c r="U162" s="125">
        <f t="shared" ca="1" si="120"/>
        <v>261.12</v>
      </c>
      <c r="V162" s="126">
        <v>0</v>
      </c>
      <c r="W162" s="124">
        <f ca="1">IF($C162="S",ROUND(IF(TIPOORCAMENTO="Proposto",ORÇAMENTO.CustoUnitario*(1+$AH162),ORÇAMENTO.PrecoUnitarioLicitado),15-13*$AF$10),0)</f>
        <v>261.12</v>
      </c>
      <c r="X162" s="127">
        <f ca="1">IF($C162="S",IF(Import.TipoArredondamento&lt;&gt;"TransfereGOV",VTOTAL1,SUM(OFFSET(CÁLCULO!$AA$15,ROW($X162)-ROW($X$15),1):OFFSET(CÁLCULO!$AL$15,ROW($X162)-ROW($X$15),-1))),IF($C162=0,0,ROUND(SomaAgrup,15-13*$AF$11)))</f>
        <v>3133.44</v>
      </c>
      <c r="Y162" s="128" t="s">
        <v>245</v>
      </c>
      <c r="Z162" t="str">
        <f t="shared" ca="1" si="140"/>
        <v>RA</v>
      </c>
      <c r="AA162" s="129">
        <f ca="1">IF($C162="S",IF($Z162="CP",$X162,IF($Z162="RA",(($X162)*QCI!$AA$3),0)),SomaAgrup)</f>
        <v>3133.44</v>
      </c>
      <c r="AB162" s="130">
        <f t="shared" ca="1" si="127"/>
        <v>0</v>
      </c>
      <c r="AC162" s="131" t="str">
        <f ca="1">IF($N162="","",IF(ORÇAMENTO.Descricao="","DESCRIÇÃO",IF(AND($C162="S",ORÇAMENTO.Unidade=""),"UNIDADE",IF($X162&lt;0,"VALOR NEGATIVO",IF(OR(AND(TIPOORCAMENTO="Proposto",$AG162&lt;&gt;"",$AG162&gt;0,ORÇAMENTO.CustoUnitario&gt;$AG162),AND(TIPOORCAMENTO="LICITADO",ORÇAMENTO.PrecoUnitarioLicitado&gt;$AN162)),"ACIMA REF.","")))))</f>
        <v/>
      </c>
      <c r="AD162" t="str">
        <f ca="1">IF(C162&lt;=CRONO.NivelExibicao,MAX($AD$15:OFFSET(AD162,-1,0))+IF($C162&lt;&gt;1,1,MAX(1,COUNTIF(QCI!$A$13:$A$24,OFFSET($E162,-1,0)))),"")</f>
        <v/>
      </c>
      <c r="AE162" s="7" t="str">
        <f ca="1">IF(AND($C162="S",ORÇAMENTO.CodBarra&lt;&gt;""),IF(ORÇAMENTO.Fonte="",ORÇAMENTO.CodBarra,CONCATENATE(ORÇAMENTO.Fonte," ",ORÇAMENTO.CodBarra)))</f>
        <v>Cotação 06</v>
      </c>
      <c r="AF162" s="13">
        <f ca="1">IF(ISERROR(INDIRECT(ORÇAMENTO.BancoRef)),"(abra o arquivo 'Referência "&amp;Excel_BuiltIn_Database&amp;".xlsm)",IF(OR($C162&lt;&gt;"S",ORÇAMENTO.CodBarra=""),"(Sem Código)",IF(ISERROR(MATCH($AE162,INDIRECT(ORÇAMENTO.BancoRef),0)),"(Código não identificado nas referências)",MATCH($AE162,INDIRECT(ORÇAMENTO.BancoRef),0))))</f>
        <v>20</v>
      </c>
      <c r="AG162" s="498">
        <f ca="1">ROUND(IF(DESONERACAO="sim",REFERENCIA.Desonerado,REFERENCIA.NaoDesonerado),2)</f>
        <v>261.12</v>
      </c>
      <c r="AH162" s="499">
        <f t="shared" si="128"/>
        <v>0</v>
      </c>
      <c r="AJ162" s="501">
        <v>12</v>
      </c>
      <c r="AL162" s="527"/>
      <c r="AM162" s="381">
        <f t="shared" ca="1" si="124"/>
        <v>3133.44</v>
      </c>
      <c r="AN162" s="566">
        <f t="shared" ca="1" si="129"/>
        <v>261.12</v>
      </c>
    </row>
    <row r="163" spans="1:40" x14ac:dyDescent="0.2">
      <c r="A163">
        <f t="shared" si="126"/>
        <v>2</v>
      </c>
      <c r="B163">
        <f t="shared" ca="1" si="130"/>
        <v>2</v>
      </c>
      <c r="C163">
        <f t="shared" ca="1" si="131"/>
        <v>2</v>
      </c>
      <c r="D163">
        <f t="shared" ca="1" si="132"/>
        <v>2</v>
      </c>
      <c r="E163">
        <f ca="1">IF($C163=1,OFFSET(E163,-1,0)+MAX(1,COUNTIF(QCI!$A$13:$A$24,OFFSET(ORÇAMENTO!E163,-1,0))),OFFSET(E163,-1,0))</f>
        <v>10</v>
      </c>
      <c r="F163">
        <f t="shared" ca="1" si="133"/>
        <v>3</v>
      </c>
      <c r="G163">
        <f t="shared" ca="1" si="134"/>
        <v>0</v>
      </c>
      <c r="H163">
        <f t="shared" ca="1" si="135"/>
        <v>0</v>
      </c>
      <c r="I163">
        <f t="shared" ca="1" si="136"/>
        <v>0</v>
      </c>
      <c r="J163">
        <f ca="1">IF(OR($C163="S",$C163=0),0,MATCH(0,OFFSET($D163,1,$C163,ROW($C$165)-ROW($C163)),0))</f>
        <v>2</v>
      </c>
      <c r="K163" t="e">
        <f ca="1">IF(OR($C163="S",$C163=0),0,MATCH(OFFSET($D163,0,$C163)+IF($C163&lt;&gt;1,1,COUNTIF(QCI!$A$13:$A$24,ORÇAMENTO!E163)),OFFSET($D163,1,$C163,ROW($C$165)-ROW($C163)),0))</f>
        <v>#N/A</v>
      </c>
      <c r="L163" s="116" t="str">
        <f t="shared" ca="1" si="137"/>
        <v>F</v>
      </c>
      <c r="M163" s="117" t="s">
        <v>196</v>
      </c>
      <c r="N163" s="118" t="str">
        <f t="shared" ca="1" si="138"/>
        <v>Nível 2</v>
      </c>
      <c r="O163" s="119" t="str">
        <f t="shared" ca="1" si="139"/>
        <v>10.3.</v>
      </c>
      <c r="P163" s="120" t="s">
        <v>247</v>
      </c>
      <c r="Q163" s="121"/>
      <c r="R163" s="122" t="s">
        <v>604</v>
      </c>
      <c r="S163" s="123" t="str">
        <f ca="1">REFERENCIA.Unidade</f>
        <v>-</v>
      </c>
      <c r="T163" s="124">
        <f ca="1">OFFSET(CÁLCULO!H$15,ROW($T163)-ROW(T$15),0)</f>
        <v>0</v>
      </c>
      <c r="U163" s="125">
        <f t="shared" ca="1" si="120"/>
        <v>0</v>
      </c>
      <c r="V163" s="126" t="s">
        <v>156</v>
      </c>
      <c r="W163" s="124">
        <f ca="1">IF($C163="S",ROUND(IF(TIPOORCAMENTO="Proposto",ORÇAMENTO.CustoUnitario*(1+$AH163),ORÇAMENTO.PrecoUnitarioLicitado),15-13*$AF$10),0)</f>
        <v>0</v>
      </c>
      <c r="X163" s="127">
        <f ca="1">IF($C163="S",IF(Import.TipoArredondamento&lt;&gt;"TransfereGOV",VTOTAL1,SUM(OFFSET(CÁLCULO!$AA$15,ROW($X163)-ROW($X$15),1):OFFSET(CÁLCULO!$AL$15,ROW($X163)-ROW($X$15),-1))),IF($C163=0,0,ROUND(SomaAgrup,15-13*$AF$11)))</f>
        <v>152.36000000000001</v>
      </c>
      <c r="Y163" s="128" t="s">
        <v>245</v>
      </c>
      <c r="Z163" t="str">
        <f t="shared" ca="1" si="140"/>
        <v/>
      </c>
      <c r="AA163" s="129">
        <f ca="1">IF($C163="S",IF($Z163="CP",$X163,IF($Z163="RA",(($X163)*QCI!$AA$3),0)),SomaAgrup)</f>
        <v>152.36000000000001</v>
      </c>
      <c r="AB163" s="130">
        <f t="shared" ca="1" si="127"/>
        <v>0</v>
      </c>
      <c r="AC163" s="131" t="str">
        <f ca="1">IF($N163="","",IF(ORÇAMENTO.Descricao="","DESCRIÇÃO",IF(AND($C163="S",ORÇAMENTO.Unidade=""),"UNIDADE",IF($X163&lt;0,"VALOR NEGATIVO",IF(OR(AND(TIPOORCAMENTO="Proposto",$AG163&lt;&gt;"",$AG163&gt;0,ORÇAMENTO.CustoUnitario&gt;$AG163),AND(TIPOORCAMENTO="LICITADO",ORÇAMENTO.PrecoUnitarioLicitado&gt;$AN163)),"ACIMA REF.","")))))</f>
        <v/>
      </c>
      <c r="AD163">
        <f ca="1">IF(C163&lt;=CRONO.NivelExibicao,MAX($AD$15:OFFSET(AD163,-1,0))+IF($C163&lt;&gt;1,1,MAX(1,COUNTIF(QCI!$A$13:$A$24,OFFSET($E163,-1,0)))),"")</f>
        <v>33</v>
      </c>
      <c r="AE163" s="7" t="b">
        <f ca="1">IF(AND($C163="S",ORÇAMENTO.CodBarra&lt;&gt;""),IF(ORÇAMENTO.Fonte="",ORÇAMENTO.CodBarra,CONCATENATE(ORÇAMENTO.Fonte," ",ORÇAMENTO.CodBarra)))</f>
        <v>0</v>
      </c>
      <c r="AF163" s="13" t="str">
        <f ca="1">IF(ISERROR(INDIRECT(ORÇAMENTO.BancoRef)),"(abra o arquivo 'Referência "&amp;Excel_BuiltIn_Database&amp;".xlsm)",IF(OR($C163&lt;&gt;"S",ORÇAMENTO.CodBarra=""),"(Sem Código)",IF(ISERROR(MATCH($AE163,INDIRECT(ORÇAMENTO.BancoRef),0)),"(Código não identificado nas referências)",MATCH($AE163,INDIRECT(ORÇAMENTO.BancoRef),0))))</f>
        <v>(Sem Código)</v>
      </c>
      <c r="AG163" s="498">
        <f ca="1">ROUND(IF(DESONERACAO="sim",REFERENCIA.Desonerado,REFERENCIA.NaoDesonerado),2)</f>
        <v>0</v>
      </c>
      <c r="AH163" s="499">
        <f t="shared" ca="1" si="128"/>
        <v>0.20349999999999999</v>
      </c>
      <c r="AJ163" s="501"/>
      <c r="AL163" s="527"/>
      <c r="AM163" s="381">
        <f t="shared" ca="1" si="124"/>
        <v>152.36000000000001</v>
      </c>
      <c r="AN163" s="566">
        <f t="shared" ca="1" si="129"/>
        <v>0</v>
      </c>
    </row>
    <row r="164" spans="1:40" ht="25.5" x14ac:dyDescent="0.2">
      <c r="A164" t="str">
        <f t="shared" si="126"/>
        <v>S</v>
      </c>
      <c r="B164">
        <f t="shared" ca="1" si="130"/>
        <v>2</v>
      </c>
      <c r="C164" t="str">
        <f t="shared" ca="1" si="131"/>
        <v>S</v>
      </c>
      <c r="D164">
        <f t="shared" ca="1" si="132"/>
        <v>0</v>
      </c>
      <c r="E164">
        <f ca="1">IF($C164=1,OFFSET(E164,-1,0)+MAX(1,COUNTIF(QCI!$A$13:$A$24,OFFSET(ORÇAMENTO!E164,-1,0))),OFFSET(E164,-1,0))</f>
        <v>10</v>
      </c>
      <c r="F164">
        <f t="shared" ca="1" si="133"/>
        <v>3</v>
      </c>
      <c r="G164">
        <f t="shared" ca="1" si="134"/>
        <v>0</v>
      </c>
      <c r="H164">
        <f t="shared" ca="1" si="135"/>
        <v>0</v>
      </c>
      <c r="I164">
        <f t="shared" ca="1" si="136"/>
        <v>1</v>
      </c>
      <c r="J164">
        <f ca="1">IF(OR($C164="S",$C164=0),0,MATCH(0,OFFSET($D164,1,$C164,ROW($C$165)-ROW($C164)),0))</f>
        <v>0</v>
      </c>
      <c r="K164">
        <f ca="1">IF(OR($C164="S",$C164=0),0,MATCH(OFFSET($D164,0,$C164)+IF($C164&lt;&gt;1,1,COUNTIF(QCI!$A$13:$A$24,ORÇAMENTO!E164)),OFFSET($D164,1,$C164,ROW($C$165)-ROW($C164)),0))</f>
        <v>0</v>
      </c>
      <c r="L164" s="116" t="str">
        <f t="shared" ca="1" si="137"/>
        <v>F</v>
      </c>
      <c r="M164" s="117" t="s">
        <v>199</v>
      </c>
      <c r="N164" s="118" t="str">
        <f t="shared" ca="1" si="138"/>
        <v>Serviço</v>
      </c>
      <c r="O164" s="119" t="str">
        <f t="shared" ca="1" si="139"/>
        <v>10.3.1.</v>
      </c>
      <c r="P164" s="120" t="s">
        <v>247</v>
      </c>
      <c r="Q164" s="121" t="s">
        <v>518</v>
      </c>
      <c r="R164" s="122" t="str">
        <f ca="1">IF($C164="S",REFERENCIA.Descricao,"(digite a descrição aqui)")</f>
        <v>LIMPEZA DE PISO CERÂMICO OU PORCELANATO COM VASSOURA A SECO. AF_10/2025</v>
      </c>
      <c r="S164" s="123" t="str">
        <f ca="1">REFERENCIA.Unidade</f>
        <v>M2</v>
      </c>
      <c r="T164" s="124">
        <f ca="1">OFFSET(CÁLCULO!H$15,ROW($T164)-ROW(T$15),0)</f>
        <v>195.33</v>
      </c>
      <c r="U164" s="125">
        <f t="shared" ca="1" si="120"/>
        <v>0.65</v>
      </c>
      <c r="V164" s="126" t="s">
        <v>156</v>
      </c>
      <c r="W164" s="124">
        <f ca="1">IF($C164="S",ROUND(IF(TIPOORCAMENTO="Proposto",ORÇAMENTO.CustoUnitario*(1+$AH164),ORÇAMENTO.PrecoUnitarioLicitado),15-13*$AF$10),0)</f>
        <v>0.78</v>
      </c>
      <c r="X164" s="127">
        <f ca="1">IF($C164="S",IF(Import.TipoArredondamento&lt;&gt;"TransfereGOV",VTOTAL1,SUM(OFFSET(CÁLCULO!$AA$15,ROW($X164)-ROW($X$15),1):OFFSET(CÁLCULO!$AL$15,ROW($X164)-ROW($X$15),-1))),IF($C164=0,0,ROUND(SomaAgrup,15-13*$AF$11)))</f>
        <v>152.36000000000001</v>
      </c>
      <c r="Y164" s="128" t="s">
        <v>245</v>
      </c>
      <c r="Z164" t="str">
        <f t="shared" ca="1" si="140"/>
        <v>RA</v>
      </c>
      <c r="AA164" s="129">
        <f ca="1">IF($C164="S",IF($Z164="CP",$X164,IF($Z164="RA",(($X164)*QCI!$AA$3),0)),SomaAgrup)</f>
        <v>152.36000000000001</v>
      </c>
      <c r="AB164" s="130">
        <f t="shared" ca="1" si="127"/>
        <v>0</v>
      </c>
      <c r="AC164" s="131" t="str">
        <f ca="1">IF($N164="","",IF(ORÇAMENTO.Descricao="","DESCRIÇÃO",IF(AND($C164="S",ORÇAMENTO.Unidade=""),"UNIDADE",IF($X164&lt;0,"VALOR NEGATIVO",IF(OR(AND(TIPOORCAMENTO="Proposto",$AG164&lt;&gt;"",$AG164&gt;0,ORÇAMENTO.CustoUnitario&gt;$AG164),AND(TIPOORCAMENTO="LICITADO",ORÇAMENTO.PrecoUnitarioLicitado&gt;$AN164)),"ACIMA REF.","")))))</f>
        <v/>
      </c>
      <c r="AD164" t="str">
        <f ca="1">IF(C164&lt;=CRONO.NivelExibicao,MAX($AD$15:OFFSET(AD164,-1,0))+IF($C164&lt;&gt;1,1,MAX(1,COUNTIF(QCI!$A$13:$A$24,OFFSET($E164,-1,0)))),"")</f>
        <v/>
      </c>
      <c r="AE164" s="7" t="str">
        <f ca="1">IF(AND($C164="S",ORÇAMENTO.CodBarra&lt;&gt;""),IF(ORÇAMENTO.Fonte="",ORÇAMENTO.CodBarra,CONCATENATE(ORÇAMENTO.Fonte," ",ORÇAMENTO.CodBarra)))</f>
        <v>SINAPI 99802</v>
      </c>
      <c r="AF164" s="13">
        <f ca="1">IF(ISERROR(INDIRECT(ORÇAMENTO.BancoRef)),"(abra o arquivo 'Referência "&amp;Excel_BuiltIn_Database&amp;".xlsm)",IF(OR($C164&lt;&gt;"S",ORÇAMENTO.CodBarra=""),"(Sem Código)",IF(ISERROR(MATCH($AE164,INDIRECT(ORÇAMENTO.BancoRef),0)),"(Código não identificado nas referências)",MATCH($AE164,INDIRECT(ORÇAMENTO.BancoRef),0))))</f>
        <v>13305</v>
      </c>
      <c r="AG164" s="498">
        <f ca="1">ROUND(IF(DESONERACAO="sim",REFERENCIA.Desonerado,REFERENCIA.NaoDesonerado),2)</f>
        <v>0.65</v>
      </c>
      <c r="AH164" s="499">
        <f t="shared" ca="1" si="128"/>
        <v>0.20349999999999999</v>
      </c>
      <c r="AJ164" s="501">
        <v>195.33</v>
      </c>
      <c r="AL164" s="527"/>
      <c r="AM164" s="381">
        <f t="shared" ca="1" si="124"/>
        <v>152.36000000000001</v>
      </c>
      <c r="AN164" s="566">
        <f t="shared" ca="1" si="129"/>
        <v>0.78</v>
      </c>
    </row>
    <row r="165" spans="1:40" ht="5.0999999999999996" customHeight="1" x14ac:dyDescent="0.2">
      <c r="A165">
        <v>-1</v>
      </c>
      <c r="C165">
        <v>-1</v>
      </c>
      <c r="E165">
        <v>0</v>
      </c>
      <c r="F165">
        <v>0</v>
      </c>
      <c r="G165">
        <v>0</v>
      </c>
      <c r="H165">
        <v>0</v>
      </c>
      <c r="I165">
        <v>0</v>
      </c>
      <c r="L165" s="116" t="s">
        <v>246</v>
      </c>
      <c r="M165" s="492"/>
      <c r="N165" s="493"/>
      <c r="O165" s="492"/>
      <c r="P165" s="494"/>
      <c r="Q165" s="494"/>
      <c r="R165" s="494"/>
      <c r="S165" s="494"/>
      <c r="T165" s="494"/>
      <c r="U165" s="494"/>
      <c r="V165" s="494"/>
      <c r="W165" s="494"/>
      <c r="X165" s="493"/>
      <c r="AG165" s="484"/>
      <c r="AH165" s="486"/>
      <c r="AJ165" s="495"/>
      <c r="AL165" s="484"/>
      <c r="AM165" s="485"/>
      <c r="AN165" s="486"/>
    </row>
    <row r="168" spans="1:40" ht="14.25" x14ac:dyDescent="0.2">
      <c r="O168" s="140" t="s">
        <v>248</v>
      </c>
      <c r="Q168" s="619" t="s">
        <v>249</v>
      </c>
      <c r="R168" s="619"/>
      <c r="S168" s="619"/>
      <c r="T168" s="619"/>
      <c r="U168" s="619"/>
      <c r="V168" s="619"/>
      <c r="W168" s="619"/>
      <c r="X168" s="619"/>
    </row>
    <row r="170" spans="1:40" ht="14.25" x14ac:dyDescent="0.2">
      <c r="O170" s="141" t="s">
        <v>187</v>
      </c>
      <c r="X170" s="4"/>
    </row>
    <row r="171" spans="1:40" ht="12.75" customHeight="1" x14ac:dyDescent="0.2">
      <c r="O171" s="620"/>
      <c r="P171" s="620"/>
      <c r="Q171" s="620"/>
      <c r="R171" s="620"/>
      <c r="S171" s="620"/>
      <c r="T171" s="620"/>
      <c r="U171" s="620"/>
      <c r="V171" s="620"/>
      <c r="W171" s="620"/>
      <c r="X171" s="620"/>
    </row>
    <row r="172" spans="1:40" x14ac:dyDescent="0.2">
      <c r="O172" s="620"/>
      <c r="P172" s="620"/>
      <c r="Q172" s="620"/>
      <c r="R172" s="620"/>
      <c r="S172" s="620"/>
      <c r="T172" s="620"/>
      <c r="U172" s="620"/>
      <c r="V172" s="620"/>
      <c r="W172" s="620"/>
      <c r="X172" s="620"/>
    </row>
    <row r="173" spans="1:40" x14ac:dyDescent="0.2">
      <c r="O173" s="620"/>
      <c r="P173" s="620"/>
      <c r="Q173" s="620"/>
      <c r="R173" s="620"/>
      <c r="S173" s="620"/>
      <c r="T173" s="620"/>
      <c r="U173" s="620"/>
      <c r="V173" s="620"/>
      <c r="W173" s="620"/>
      <c r="X173" s="620"/>
    </row>
    <row r="174" spans="1:40" ht="14.25" x14ac:dyDescent="0.2">
      <c r="O174" s="534"/>
      <c r="P174" s="534"/>
      <c r="Q174" s="534"/>
      <c r="R174" s="534"/>
      <c r="S174" s="534"/>
      <c r="T174" s="534"/>
      <c r="U174" s="534"/>
      <c r="V174" s="534"/>
      <c r="W174" s="534"/>
      <c r="X174" s="534"/>
      <c r="Y174" s="534"/>
      <c r="Z174" s="142"/>
      <c r="AA174" s="142"/>
      <c r="AB174" s="142"/>
    </row>
    <row r="175" spans="1:40" ht="15" x14ac:dyDescent="0.25">
      <c r="O175" s="621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175" s="621"/>
      <c r="Q175" s="621"/>
      <c r="R175" s="621"/>
      <c r="S175" s="621"/>
      <c r="T175" s="621"/>
      <c r="U175" s="621"/>
      <c r="V175" s="621"/>
      <c r="W175" s="621"/>
      <c r="X175" s="621"/>
      <c r="Y175" s="143"/>
      <c r="Z175" s="143"/>
      <c r="AA175" s="143"/>
      <c r="AB175" s="143"/>
    </row>
    <row r="176" spans="1:40" ht="15" customHeight="1" x14ac:dyDescent="0.25">
      <c r="O176" s="623" t="s">
        <v>250</v>
      </c>
      <c r="P176" s="623"/>
      <c r="Q176" s="623"/>
      <c r="R176" s="623"/>
      <c r="S176" s="623"/>
      <c r="T176" s="623"/>
      <c r="U176" s="623"/>
      <c r="V176" s="623"/>
      <c r="W176" s="623"/>
      <c r="X176" s="623"/>
      <c r="Y176" s="143"/>
      <c r="Z176" s="143"/>
      <c r="AA176" s="143"/>
      <c r="AB176" s="143"/>
    </row>
    <row r="178" spans="15:23" ht="30" customHeight="1" x14ac:dyDescent="0.2">
      <c r="O178" s="622" t="str">
        <f>Import.Município</f>
        <v xml:space="preserve">ÁGUAS DE CHAPECÓ </v>
      </c>
      <c r="P178" s="622"/>
      <c r="Q178" s="622"/>
      <c r="S178" s="553"/>
      <c r="T178" s="553"/>
      <c r="U178" s="553"/>
      <c r="V178" s="553"/>
      <c r="W178" s="479"/>
    </row>
    <row r="179" spans="15:23" x14ac:dyDescent="0.2">
      <c r="O179" s="10" t="s">
        <v>188</v>
      </c>
      <c r="S179" s="195" t="s">
        <v>190</v>
      </c>
      <c r="T179" s="195"/>
      <c r="U179" s="195"/>
      <c r="V179" s="195"/>
    </row>
    <row r="180" spans="15:23" x14ac:dyDescent="0.2">
      <c r="S180" s="78" t="s">
        <v>108</v>
      </c>
      <c r="T180" s="79" t="str">
        <f t="array" ref="T180:T182">Import.RespOrçamento</f>
        <v>RENATA LORENZET</v>
      </c>
      <c r="V180" s="80"/>
    </row>
    <row r="181" spans="15:23" x14ac:dyDescent="0.2">
      <c r="O181" s="617">
        <f ca="1">DADOS!$F$25</f>
        <v>46310</v>
      </c>
      <c r="P181" s="617"/>
      <c r="Q181" s="617"/>
      <c r="S181" s="78" t="s">
        <v>109</v>
      </c>
      <c r="T181" s="79" t="str">
        <v>207.601-3</v>
      </c>
      <c r="U181" s="80"/>
      <c r="V181" s="80"/>
    </row>
    <row r="182" spans="15:23" x14ac:dyDescent="0.2">
      <c r="O182" s="146" t="s">
        <v>189</v>
      </c>
      <c r="P182" s="1"/>
      <c r="Q182" s="1"/>
      <c r="S182" s="78" t="s">
        <v>110</v>
      </c>
      <c r="T182" s="79" t="str">
        <v>10734903-0</v>
      </c>
      <c r="U182" s="80"/>
      <c r="V182" s="80"/>
    </row>
  </sheetData>
  <sheetProtection algorithmName="SHA-512" hashValue="lT8+cXbPiL8JxhoPY2eEHRDU3ew8SmFp65obPcq0VJ1PC5ha3fnwzPHvgg1oZnRv6NdYM3xpNwqT58UrvUoJTg==" saltValue="Jd05MpZfMyKnzx3IC02sCw==" spinCount="100000" sheet="1" objects="1" scenarios="1" autoFilter="0"/>
  <autoFilter ref="L15:L165" xr:uid="{00000000-0001-0000-0400-000000000000}"/>
  <mergeCells count="24">
    <mergeCell ref="O181:Q181"/>
    <mergeCell ref="O15:R15"/>
    <mergeCell ref="Q168:X168"/>
    <mergeCell ref="O171:X173"/>
    <mergeCell ref="O175:X175"/>
    <mergeCell ref="O178:Q178"/>
    <mergeCell ref="O176:X176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8" type="noConversion"/>
  <conditionalFormatting sqref="M14 M16:M52 M64:M69 M71:M164">
    <cfRule type="cellIs" dxfId="385" priority="8538" stopIfTrue="1" operator="notEqual">
      <formula>$N14</formula>
    </cfRule>
  </conditionalFormatting>
  <conditionalFormatting sqref="N14:O14 R14 W14:X14 N16:O52 W16:X52 N54:O69 W54:X69 N71:O164 R16:R164 W71:X164">
    <cfRule type="expression" dxfId="384" priority="8539" stopIfTrue="1">
      <formula>$C14=1</formula>
    </cfRule>
    <cfRule type="expression" dxfId="383" priority="8540" stopIfTrue="1">
      <formula>OR($C14=0,$C14=2,$C14=3,$C14=4)</formula>
    </cfRule>
  </conditionalFormatting>
  <conditionalFormatting sqref="U14:V14 U16:V164">
    <cfRule type="expression" dxfId="382" priority="8541" stopIfTrue="1">
      <formula>$C14=1</formula>
    </cfRule>
    <cfRule type="expression" dxfId="381" priority="8542" stopIfTrue="1">
      <formula>OR($C14=0,$C14=2,$C14=3,$C14=4)</formula>
    </cfRule>
    <cfRule type="expression" dxfId="380" priority="8543" stopIfTrue="1">
      <formula>AND(TIPOORCAMENTO="Licitado",$C14&lt;&gt;"L",$C14&lt;&gt;-1)</formula>
    </cfRule>
  </conditionalFormatting>
  <conditionalFormatting sqref="P14:Q14 S14:T14 Y14 AG14:AH14 S53 S70 S16:T52 Y16:Y52 AG16:AH52 S54:T69 Y54:Y69 AG54:AH69 P16:Q164 S71:T164 Y71:Y164 AG71:AH164">
    <cfRule type="expression" dxfId="379" priority="8544" stopIfTrue="1">
      <formula>$C14=1</formula>
    </cfRule>
    <cfRule type="expression" dxfId="378" priority="8545" stopIfTrue="1">
      <formula>OR($C14=0,$C14=2,$C14=3,$C14=4)</formula>
    </cfRule>
  </conditionalFormatting>
  <conditionalFormatting sqref="AJ7:AJ52 AJ64:AJ69 AJ71:AJ165">
    <cfRule type="expression" dxfId="377" priority="8546" stopIfTrue="1">
      <formula>OR(ACOMPANHAMENTO&lt;&gt;"BM",TIPOORCAMENTO="Licitado")</formula>
    </cfRule>
    <cfRule type="expression" dxfId="376" priority="8547" stopIfTrue="1">
      <formula>$C7=1</formula>
    </cfRule>
    <cfRule type="expression" dxfId="375" priority="8548" stopIfTrue="1">
      <formula>OR(AND(ISNUMBER($C7),$C7=0),$C7=2,$C7=3,$C7=4)</formula>
    </cfRule>
  </conditionalFormatting>
  <conditionalFormatting sqref="AL7:AL52 AL64:AL69 AL71:AL165">
    <cfRule type="expression" dxfId="374" priority="8549" stopIfTrue="1">
      <formula>TIPOORCAMENTO="PROPOSTO"</formula>
    </cfRule>
    <cfRule type="expression" dxfId="373" priority="8550" stopIfTrue="1">
      <formula>$C7=1</formula>
    </cfRule>
    <cfRule type="expression" dxfId="372" priority="8551" stopIfTrue="1">
      <formula>OR(AND(ISNUMBER($C7),$C7=0),$C7=2,$C7=3,$C7=4)</formula>
    </cfRule>
  </conditionalFormatting>
  <conditionalFormatting sqref="O8:P8">
    <cfRule type="expression" dxfId="371" priority="8555" stopIfTrue="1">
      <formula>ISERROR(INDIRECT($F$9))</formula>
    </cfRule>
  </conditionalFormatting>
  <conditionalFormatting sqref="S7:V8">
    <cfRule type="expression" dxfId="370" priority="8556" stopIfTrue="1">
      <formula>TIPOORCAMENTO="Proposto"</formula>
    </cfRule>
  </conditionalFormatting>
  <conditionalFormatting sqref="S9:V9">
    <cfRule type="expression" dxfId="369" priority="8503" stopIfTrue="1">
      <formula>TIPOORCAMENTO="Proposto"</formula>
    </cfRule>
  </conditionalFormatting>
  <conditionalFormatting sqref="AM7:AN52 AM65:AN69 AM71:AN165">
    <cfRule type="expression" dxfId="368" priority="8552" stopIfTrue="1">
      <formula>TIPOORCAMENTO="PROPOSTO"</formula>
    </cfRule>
    <cfRule type="expression" dxfId="367" priority="8553" stopIfTrue="1">
      <formula>$C7=1</formula>
    </cfRule>
    <cfRule type="expression" dxfId="366" priority="8554" stopIfTrue="1">
      <formula>OR(AND(ISNUMBER($C7),$C7=0),$C7=2,$C7=3,$C7=4)</formula>
    </cfRule>
  </conditionalFormatting>
  <conditionalFormatting sqref="M53 M70">
    <cfRule type="cellIs" dxfId="365" priority="673" stopIfTrue="1" operator="notEqual">
      <formula>$N53</formula>
    </cfRule>
  </conditionalFormatting>
  <conditionalFormatting sqref="N53:O53 W53:X53 W70:X70 N70:O70">
    <cfRule type="expression" dxfId="364" priority="674" stopIfTrue="1">
      <formula>$C53=1</formula>
    </cfRule>
    <cfRule type="expression" dxfId="363" priority="675" stopIfTrue="1">
      <formula>OR($C53=0,$C53=2,$C53=3,$C53=4)</formula>
    </cfRule>
  </conditionalFormatting>
  <conditionalFormatting sqref="T53 Y53 AG53:AH53 AG70:AH70 Y70 T70">
    <cfRule type="expression" dxfId="362" priority="679" stopIfTrue="1">
      <formula>$C53=1</formula>
    </cfRule>
    <cfRule type="expression" dxfId="361" priority="680" stopIfTrue="1">
      <formula>OR($C53=0,$C53=2,$C53=3,$C53=4)</formula>
    </cfRule>
  </conditionalFormatting>
  <conditionalFormatting sqref="AJ53 AJ70">
    <cfRule type="expression" dxfId="360" priority="681" stopIfTrue="1">
      <formula>OR(ACOMPANHAMENTO&lt;&gt;"BM",TIPOORCAMENTO="Licitado")</formula>
    </cfRule>
    <cfRule type="expression" dxfId="359" priority="682" stopIfTrue="1">
      <formula>$C53=1</formula>
    </cfRule>
    <cfRule type="expression" dxfId="358" priority="683" stopIfTrue="1">
      <formula>OR(AND(ISNUMBER($C53),$C53=0),$C53=2,$C53=3,$C53=4)</formula>
    </cfRule>
  </conditionalFormatting>
  <conditionalFormatting sqref="AL53 AL70">
    <cfRule type="expression" dxfId="357" priority="684" stopIfTrue="1">
      <formula>TIPOORCAMENTO="PROPOSTO"</formula>
    </cfRule>
    <cfRule type="expression" dxfId="356" priority="685" stopIfTrue="1">
      <formula>$C53=1</formula>
    </cfRule>
    <cfRule type="expression" dxfId="355" priority="686" stopIfTrue="1">
      <formula>OR(AND(ISNUMBER($C53),$C53=0),$C53=2,$C53=3,$C53=4)</formula>
    </cfRule>
  </conditionalFormatting>
  <conditionalFormatting sqref="AM53:AN53 AM70:AN70">
    <cfRule type="expression" dxfId="354" priority="687" stopIfTrue="1">
      <formula>TIPOORCAMENTO="PROPOSTO"</formula>
    </cfRule>
    <cfRule type="expression" dxfId="353" priority="688" stopIfTrue="1">
      <formula>$C53=1</formula>
    </cfRule>
    <cfRule type="expression" dxfId="352" priority="689" stopIfTrue="1">
      <formula>OR(AND(ISNUMBER($C53),$C53=0),$C53=2,$C53=3,$C53=4)</formula>
    </cfRule>
  </conditionalFormatting>
  <conditionalFormatting sqref="M63">
    <cfRule type="cellIs" dxfId="351" priority="137" stopIfTrue="1" operator="notEqual">
      <formula>$N63</formula>
    </cfRule>
  </conditionalFormatting>
  <conditionalFormatting sqref="AJ63">
    <cfRule type="expression" dxfId="350" priority="138" stopIfTrue="1">
      <formula>OR(ACOMPANHAMENTO&lt;&gt;"BM",TIPOORCAMENTO="Licitado")</formula>
    </cfRule>
    <cfRule type="expression" dxfId="349" priority="139" stopIfTrue="1">
      <formula>$C63=1</formula>
    </cfRule>
    <cfRule type="expression" dxfId="348" priority="140" stopIfTrue="1">
      <formula>OR(AND(ISNUMBER($C63),$C63=0),$C63=2,$C63=3,$C63=4)</formula>
    </cfRule>
  </conditionalFormatting>
  <conditionalFormatting sqref="AL63">
    <cfRule type="expression" dxfId="347" priority="141" stopIfTrue="1">
      <formula>TIPOORCAMENTO="PROPOSTO"</formula>
    </cfRule>
    <cfRule type="expression" dxfId="346" priority="142" stopIfTrue="1">
      <formula>$C63=1</formula>
    </cfRule>
    <cfRule type="expression" dxfId="345" priority="143" stopIfTrue="1">
      <formula>OR(AND(ISNUMBER($C63),$C63=0),$C63=2,$C63=3,$C63=4)</formula>
    </cfRule>
  </conditionalFormatting>
  <conditionalFormatting sqref="AM63:AN63">
    <cfRule type="expression" dxfId="344" priority="144" stopIfTrue="1">
      <formula>TIPOORCAMENTO="PROPOSTO"</formula>
    </cfRule>
    <cfRule type="expression" dxfId="343" priority="145" stopIfTrue="1">
      <formula>$C63=1</formula>
    </cfRule>
    <cfRule type="expression" dxfId="342" priority="146" stopIfTrue="1">
      <formula>OR(AND(ISNUMBER($C63),$C63=0),$C63=2,$C63=3,$C63=4)</formula>
    </cfRule>
  </conditionalFormatting>
  <conditionalFormatting sqref="M54">
    <cfRule type="cellIs" dxfId="341" priority="117" stopIfTrue="1" operator="notEqual">
      <formula>$N54</formula>
    </cfRule>
  </conditionalFormatting>
  <conditionalFormatting sqref="AJ54">
    <cfRule type="expression" dxfId="340" priority="118" stopIfTrue="1">
      <formula>OR(ACOMPANHAMENTO&lt;&gt;"BM",TIPOORCAMENTO="Licitado")</formula>
    </cfRule>
    <cfRule type="expression" dxfId="339" priority="119" stopIfTrue="1">
      <formula>$C54=1</formula>
    </cfRule>
    <cfRule type="expression" dxfId="338" priority="120" stopIfTrue="1">
      <formula>OR(AND(ISNUMBER($C54),$C54=0),$C54=2,$C54=3,$C54=4)</formula>
    </cfRule>
  </conditionalFormatting>
  <conditionalFormatting sqref="AL54">
    <cfRule type="expression" dxfId="337" priority="121" stopIfTrue="1">
      <formula>TIPOORCAMENTO="PROPOSTO"</formula>
    </cfRule>
    <cfRule type="expression" dxfId="336" priority="122" stopIfTrue="1">
      <formula>$C54=1</formula>
    </cfRule>
    <cfRule type="expression" dxfId="335" priority="123" stopIfTrue="1">
      <formula>OR(AND(ISNUMBER($C54),$C54=0),$C54=2,$C54=3,$C54=4)</formula>
    </cfRule>
  </conditionalFormatting>
  <conditionalFormatting sqref="AM54:AN54">
    <cfRule type="expression" dxfId="334" priority="124" stopIfTrue="1">
      <formula>TIPOORCAMENTO="PROPOSTO"</formula>
    </cfRule>
    <cfRule type="expression" dxfId="333" priority="125" stopIfTrue="1">
      <formula>$C54=1</formula>
    </cfRule>
    <cfRule type="expression" dxfId="332" priority="126" stopIfTrue="1">
      <formula>OR(AND(ISNUMBER($C54),$C54=0),$C54=2,$C54=3,$C54=4)</formula>
    </cfRule>
  </conditionalFormatting>
  <conditionalFormatting sqref="M62">
    <cfRule type="cellIs" dxfId="331" priority="107" stopIfTrue="1" operator="notEqual">
      <formula>$N62</formula>
    </cfRule>
  </conditionalFormatting>
  <conditionalFormatting sqref="AJ62">
    <cfRule type="expression" dxfId="330" priority="108" stopIfTrue="1">
      <formula>OR(ACOMPANHAMENTO&lt;&gt;"BM",TIPOORCAMENTO="Licitado")</formula>
    </cfRule>
    <cfRule type="expression" dxfId="329" priority="109" stopIfTrue="1">
      <formula>$C62=1</formula>
    </cfRule>
    <cfRule type="expression" dxfId="328" priority="110" stopIfTrue="1">
      <formula>OR(AND(ISNUMBER($C62),$C62=0),$C62=2,$C62=3,$C62=4)</formula>
    </cfRule>
  </conditionalFormatting>
  <conditionalFormatting sqref="AL62">
    <cfRule type="expression" dxfId="327" priority="111" stopIfTrue="1">
      <formula>TIPOORCAMENTO="PROPOSTO"</formula>
    </cfRule>
    <cfRule type="expression" dxfId="326" priority="112" stopIfTrue="1">
      <formula>$C62=1</formula>
    </cfRule>
    <cfRule type="expression" dxfId="325" priority="113" stopIfTrue="1">
      <formula>OR(AND(ISNUMBER($C62),$C62=0),$C62=2,$C62=3,$C62=4)</formula>
    </cfRule>
  </conditionalFormatting>
  <conditionalFormatting sqref="AM62:AN62">
    <cfRule type="expression" dxfId="324" priority="114" stopIfTrue="1">
      <formula>TIPOORCAMENTO="PROPOSTO"</formula>
    </cfRule>
    <cfRule type="expression" dxfId="323" priority="115" stopIfTrue="1">
      <formula>$C62=1</formula>
    </cfRule>
    <cfRule type="expression" dxfId="322" priority="116" stopIfTrue="1">
      <formula>OR(AND(ISNUMBER($C62),$C62=0),$C62=2,$C62=3,$C62=4)</formula>
    </cfRule>
  </conditionalFormatting>
  <conditionalFormatting sqref="M55:M57">
    <cfRule type="cellIs" dxfId="321" priority="77" stopIfTrue="1" operator="notEqual">
      <formula>$N55</formula>
    </cfRule>
  </conditionalFormatting>
  <conditionalFormatting sqref="AJ55:AJ57">
    <cfRule type="expression" dxfId="320" priority="78" stopIfTrue="1">
      <formula>OR(ACOMPANHAMENTO&lt;&gt;"BM",TIPOORCAMENTO="Licitado")</formula>
    </cfRule>
    <cfRule type="expression" dxfId="319" priority="79" stopIfTrue="1">
      <formula>$C55=1</formula>
    </cfRule>
    <cfRule type="expression" dxfId="318" priority="80" stopIfTrue="1">
      <formula>OR(AND(ISNUMBER($C55),$C55=0),$C55=2,$C55=3,$C55=4)</formula>
    </cfRule>
  </conditionalFormatting>
  <conditionalFormatting sqref="AL55:AL57">
    <cfRule type="expression" dxfId="317" priority="81" stopIfTrue="1">
      <formula>TIPOORCAMENTO="PROPOSTO"</formula>
    </cfRule>
    <cfRule type="expression" dxfId="316" priority="82" stopIfTrue="1">
      <formula>$C55=1</formula>
    </cfRule>
    <cfRule type="expression" dxfId="315" priority="83" stopIfTrue="1">
      <formula>OR(AND(ISNUMBER($C55),$C55=0),$C55=2,$C55=3,$C55=4)</formula>
    </cfRule>
  </conditionalFormatting>
  <conditionalFormatting sqref="AM55:AN57">
    <cfRule type="expression" dxfId="314" priority="84" stopIfTrue="1">
      <formula>TIPOORCAMENTO="PROPOSTO"</formula>
    </cfRule>
    <cfRule type="expression" dxfId="313" priority="85" stopIfTrue="1">
      <formula>$C55=1</formula>
    </cfRule>
    <cfRule type="expression" dxfId="312" priority="86" stopIfTrue="1">
      <formula>OR(AND(ISNUMBER($C55),$C55=0),$C55=2,$C55=3,$C55=4)</formula>
    </cfRule>
  </conditionalFormatting>
  <conditionalFormatting sqref="M59">
    <cfRule type="cellIs" dxfId="311" priority="67" stopIfTrue="1" operator="notEqual">
      <formula>$N59</formula>
    </cfRule>
  </conditionalFormatting>
  <conditionalFormatting sqref="AJ59">
    <cfRule type="expression" dxfId="310" priority="68" stopIfTrue="1">
      <formula>OR(ACOMPANHAMENTO&lt;&gt;"BM",TIPOORCAMENTO="Licitado")</formula>
    </cfRule>
    <cfRule type="expression" dxfId="309" priority="69" stopIfTrue="1">
      <formula>$C59=1</formula>
    </cfRule>
    <cfRule type="expression" dxfId="308" priority="70" stopIfTrue="1">
      <formula>OR(AND(ISNUMBER($C59),$C59=0),$C59=2,$C59=3,$C59=4)</formula>
    </cfRule>
  </conditionalFormatting>
  <conditionalFormatting sqref="AL59">
    <cfRule type="expression" dxfId="307" priority="71" stopIfTrue="1">
      <formula>TIPOORCAMENTO="PROPOSTO"</formula>
    </cfRule>
    <cfRule type="expression" dxfId="306" priority="72" stopIfTrue="1">
      <formula>$C59=1</formula>
    </cfRule>
    <cfRule type="expression" dxfId="305" priority="73" stopIfTrue="1">
      <formula>OR(AND(ISNUMBER($C59),$C59=0),$C59=2,$C59=3,$C59=4)</formula>
    </cfRule>
  </conditionalFormatting>
  <conditionalFormatting sqref="AM59:AN59">
    <cfRule type="expression" dxfId="304" priority="74" stopIfTrue="1">
      <formula>TIPOORCAMENTO="PROPOSTO"</formula>
    </cfRule>
    <cfRule type="expression" dxfId="303" priority="75" stopIfTrue="1">
      <formula>$C59=1</formula>
    </cfRule>
    <cfRule type="expression" dxfId="302" priority="76" stopIfTrue="1">
      <formula>OR(AND(ISNUMBER($C59),$C59=0),$C59=2,$C59=3,$C59=4)</formula>
    </cfRule>
  </conditionalFormatting>
  <conditionalFormatting sqref="AM64:AN64">
    <cfRule type="expression" dxfId="301" priority="44" stopIfTrue="1">
      <formula>TIPOORCAMENTO="PROPOSTO"</formula>
    </cfRule>
    <cfRule type="expression" dxfId="300" priority="45" stopIfTrue="1">
      <formula>$C64=1</formula>
    </cfRule>
    <cfRule type="expression" dxfId="299" priority="46" stopIfTrue="1">
      <formula>OR(AND(ISNUMBER($C64),$C64=0),$C64=2,$C64=3,$C64=4)</formula>
    </cfRule>
  </conditionalFormatting>
  <conditionalFormatting sqref="M61">
    <cfRule type="cellIs" dxfId="298" priority="34" stopIfTrue="1" operator="notEqual">
      <formula>$N61</formula>
    </cfRule>
  </conditionalFormatting>
  <conditionalFormatting sqref="AJ61">
    <cfRule type="expression" dxfId="297" priority="35" stopIfTrue="1">
      <formula>OR(ACOMPANHAMENTO&lt;&gt;"BM",TIPOORCAMENTO="Licitado")</formula>
    </cfRule>
    <cfRule type="expression" dxfId="296" priority="36" stopIfTrue="1">
      <formula>$C61=1</formula>
    </cfRule>
    <cfRule type="expression" dxfId="295" priority="37" stopIfTrue="1">
      <formula>OR(AND(ISNUMBER($C61),$C61=0),$C61=2,$C61=3,$C61=4)</formula>
    </cfRule>
  </conditionalFormatting>
  <conditionalFormatting sqref="AL61">
    <cfRule type="expression" dxfId="294" priority="38" stopIfTrue="1">
      <formula>TIPOORCAMENTO="PROPOSTO"</formula>
    </cfRule>
    <cfRule type="expression" dxfId="293" priority="39" stopIfTrue="1">
      <formula>$C61=1</formula>
    </cfRule>
    <cfRule type="expression" dxfId="292" priority="40" stopIfTrue="1">
      <formula>OR(AND(ISNUMBER($C61),$C61=0),$C61=2,$C61=3,$C61=4)</formula>
    </cfRule>
  </conditionalFormatting>
  <conditionalFormatting sqref="AM61:AN61">
    <cfRule type="expression" dxfId="291" priority="41" stopIfTrue="1">
      <formula>TIPOORCAMENTO="PROPOSTO"</formula>
    </cfRule>
    <cfRule type="expression" dxfId="290" priority="42" stopIfTrue="1">
      <formula>$C61=1</formula>
    </cfRule>
    <cfRule type="expression" dxfId="289" priority="43" stopIfTrue="1">
      <formula>OR(AND(ISNUMBER($C61),$C61=0),$C61=2,$C61=3,$C61=4)</formula>
    </cfRule>
  </conditionalFormatting>
  <conditionalFormatting sqref="M58">
    <cfRule type="cellIs" dxfId="288" priority="24" stopIfTrue="1" operator="notEqual">
      <formula>$N58</formula>
    </cfRule>
  </conditionalFormatting>
  <conditionalFormatting sqref="AJ58">
    <cfRule type="expression" dxfId="287" priority="25" stopIfTrue="1">
      <formula>OR(ACOMPANHAMENTO&lt;&gt;"BM",TIPOORCAMENTO="Licitado")</formula>
    </cfRule>
    <cfRule type="expression" dxfId="286" priority="26" stopIfTrue="1">
      <formula>$C58=1</formula>
    </cfRule>
    <cfRule type="expression" dxfId="285" priority="27" stopIfTrue="1">
      <formula>OR(AND(ISNUMBER($C58),$C58=0),$C58=2,$C58=3,$C58=4)</formula>
    </cfRule>
  </conditionalFormatting>
  <conditionalFormatting sqref="AL58">
    <cfRule type="expression" dxfId="284" priority="28" stopIfTrue="1">
      <formula>TIPOORCAMENTO="PROPOSTO"</formula>
    </cfRule>
    <cfRule type="expression" dxfId="283" priority="29" stopIfTrue="1">
      <formula>$C58=1</formula>
    </cfRule>
    <cfRule type="expression" dxfId="282" priority="30" stopIfTrue="1">
      <formula>OR(AND(ISNUMBER($C58),$C58=0),$C58=2,$C58=3,$C58=4)</formula>
    </cfRule>
  </conditionalFormatting>
  <conditionalFormatting sqref="AM58:AN58">
    <cfRule type="expression" dxfId="281" priority="31" stopIfTrue="1">
      <formula>TIPOORCAMENTO="PROPOSTO"</formula>
    </cfRule>
    <cfRule type="expression" dxfId="280" priority="32" stopIfTrue="1">
      <formula>$C58=1</formula>
    </cfRule>
    <cfRule type="expression" dxfId="279" priority="33" stopIfTrue="1">
      <formula>OR(AND(ISNUMBER($C58),$C58=0),$C58=2,$C58=3,$C58=4)</formula>
    </cfRule>
  </conditionalFormatting>
  <conditionalFormatting sqref="M60">
    <cfRule type="cellIs" dxfId="278" priority="14" stopIfTrue="1" operator="notEqual">
      <formula>$N60</formula>
    </cfRule>
  </conditionalFormatting>
  <conditionalFormatting sqref="AJ60">
    <cfRule type="expression" dxfId="277" priority="15" stopIfTrue="1">
      <formula>OR(ACOMPANHAMENTO&lt;&gt;"BM",TIPOORCAMENTO="Licitado")</formula>
    </cfRule>
    <cfRule type="expression" dxfId="276" priority="16" stopIfTrue="1">
      <formula>$C60=1</formula>
    </cfRule>
    <cfRule type="expression" dxfId="275" priority="17" stopIfTrue="1">
      <formula>OR(AND(ISNUMBER($C60),$C60=0),$C60=2,$C60=3,$C60=4)</formula>
    </cfRule>
  </conditionalFormatting>
  <conditionalFormatting sqref="AL60">
    <cfRule type="expression" dxfId="274" priority="18" stopIfTrue="1">
      <formula>TIPOORCAMENTO="PROPOSTO"</formula>
    </cfRule>
    <cfRule type="expression" dxfId="273" priority="19" stopIfTrue="1">
      <formula>$C60=1</formula>
    </cfRule>
    <cfRule type="expression" dxfId="272" priority="20" stopIfTrue="1">
      <formula>OR(AND(ISNUMBER($C60),$C60=0),$C60=2,$C60=3,$C60=4)</formula>
    </cfRule>
  </conditionalFormatting>
  <conditionalFormatting sqref="AM60:AN60">
    <cfRule type="expression" dxfId="271" priority="21" stopIfTrue="1">
      <formula>TIPOORCAMENTO="PROPOSTO"</formula>
    </cfRule>
    <cfRule type="expression" dxfId="270" priority="22" stopIfTrue="1">
      <formula>$C60=1</formula>
    </cfRule>
    <cfRule type="expression" dxfId="269" priority="23" stopIfTrue="1">
      <formula>OR(AND(ISNUMBER($C60),$C60=0),$C60=2,$C60=3,$C60=4)</formula>
    </cfRule>
  </conditionalFormatting>
  <dataValidations count="7">
    <dataValidation type="decimal" operator="greaterThan" allowBlank="1" showErrorMessage="1" error="Apenas números decimais maiores que zero." sqref="U14 AL14 AJ14 U16:U164 AL16:AL164 AJ16:AJ164" xr:uid="{00000000-0002-0000-0400-000000000000}">
      <formula1>0</formula1>
      <formula2>0</formula2>
    </dataValidation>
    <dataValidation type="list" allowBlank="1" sqref="P14 P16:P164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164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164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164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164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164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440"/>
  <sheetViews>
    <sheetView showGridLines="0" zoomScale="90" zoomScaleNormal="9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A163" sqref="A163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625" t="str">
        <f>IF(ACOMPANHAMENTO="BM","MEMÓRIA DE CÁLCULO","PLQ - PLANILHA DE LEVANTAMENTO DE QUANTIDADES")</f>
        <v>MEMÓRIA DE CÁLCULO</v>
      </c>
      <c r="G1" s="625"/>
      <c r="H1" s="625"/>
      <c r="I1" s="147"/>
      <c r="K1" s="147"/>
      <c r="L1" s="147"/>
      <c r="M1" s="148"/>
      <c r="N1" s="147"/>
      <c r="P1" s="147"/>
      <c r="Q1" s="604" t="s">
        <v>140</v>
      </c>
      <c r="R1" s="604"/>
      <c r="Y1" s="604" t="s">
        <v>140</v>
      </c>
      <c r="Z1" s="604"/>
    </row>
    <row r="2" spans="1:59" ht="15" customHeight="1" x14ac:dyDescent="0.2">
      <c r="F2" s="626" t="str">
        <f>IF(ACOMPANHAMENTO="BM","","Memória de Cálculo")&amp;" - "&amp;import.recurso</f>
        <v xml:space="preserve"> - (SELECIONAR)</v>
      </c>
      <c r="G2" s="626"/>
      <c r="H2" s="626"/>
      <c r="I2" s="149"/>
      <c r="K2" s="149"/>
      <c r="L2" s="149"/>
      <c r="M2" s="150"/>
      <c r="N2" s="149"/>
      <c r="P2" s="149"/>
      <c r="Q2" s="605" t="s">
        <v>143</v>
      </c>
      <c r="R2" s="605"/>
      <c r="Y2" s="605" t="s">
        <v>143</v>
      </c>
      <c r="Z2" s="605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600" t="s">
        <v>202</v>
      </c>
      <c r="F4" s="600"/>
      <c r="G4" s="600" t="s">
        <v>443</v>
      </c>
      <c r="H4" s="600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600" t="s">
        <v>146</v>
      </c>
      <c r="T4" s="600"/>
      <c r="U4" s="600" t="s">
        <v>147</v>
      </c>
      <c r="V4" s="600"/>
      <c r="W4" s="600"/>
      <c r="X4" s="600"/>
      <c r="Y4" s="600"/>
      <c r="Z4" s="600"/>
    </row>
    <row r="5" spans="1:59" ht="12.75" customHeight="1" x14ac:dyDescent="0.2">
      <c r="E5" s="603" t="str">
        <f>Import.Apelido</f>
        <v>SEDE ESPORTIVA, ILUMINAÇÃO E ALAMBRADO DO CAMPO</v>
      </c>
      <c r="F5" s="603"/>
      <c r="G5" s="603" cm="1">
        <f t="array" ref="G5">Import.TransfereGOV</f>
        <v>0</v>
      </c>
      <c r="H5" s="603"/>
      <c r="I5" s="92">
        <f>Import.CR</f>
        <v>0</v>
      </c>
      <c r="K5" s="154" t="str">
        <f>Import.Proponente</f>
        <v>PREFEITURA MUNICIPAL DE ÁGUAS DE CHAPECÓ</v>
      </c>
      <c r="L5" s="155"/>
      <c r="M5" s="102"/>
      <c r="N5" s="155"/>
      <c r="O5" s="155"/>
      <c r="P5" s="155"/>
      <c r="Q5" s="155"/>
      <c r="R5" s="93"/>
      <c r="S5" s="603">
        <f>Import.CR</f>
        <v>0</v>
      </c>
      <c r="T5" s="603"/>
      <c r="U5" s="603" t="str">
        <f>Import.Proponente</f>
        <v>PREFEITURA MUNICIPAL DE ÁGUAS DE CHAPECÓ</v>
      </c>
      <c r="V5" s="603"/>
      <c r="W5" s="603"/>
      <c r="X5" s="603"/>
      <c r="Y5" s="603"/>
      <c r="Z5" s="603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>IF(ACOMPANHAMENTO="BM",0,COUNTIF(M15:M165,0))</f>
        <v>0</v>
      </c>
      <c r="N12" s="158" t="s">
        <v>257</v>
      </c>
      <c r="O12" s="162"/>
      <c r="P12" s="159" t="s">
        <v>255</v>
      </c>
      <c r="Q12" s="543"/>
      <c r="R12" s="162"/>
      <c r="S12" s="162"/>
      <c r="T12" s="162"/>
      <c r="U12" s="162"/>
      <c r="V12" s="162"/>
      <c r="W12" s="162"/>
      <c r="X12" s="162"/>
      <c r="Y12" s="162"/>
      <c r="Z12" s="163"/>
      <c r="AA12" s="159" t="s">
        <v>255</v>
      </c>
      <c r="AB12" s="164">
        <f ca="1">OFFSET($P$12,0,AB$13)</f>
        <v>0</v>
      </c>
      <c r="AC12" s="165">
        <f t="shared" ref="AC12:AK12" ca="1" si="0">OFFSET($P$12,0,AC$13)</f>
        <v>0</v>
      </c>
      <c r="AD12" s="165">
        <f t="shared" ca="1" si="0"/>
        <v>0</v>
      </c>
      <c r="AE12" s="165">
        <f t="shared" ca="1" si="0"/>
        <v>0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>
        <f ca="1">OFFSET($P$12,0,AM$13)</f>
        <v>0</v>
      </c>
      <c r="AN12" s="165">
        <f t="shared" ref="AN12:AV12" ca="1" si="1">OFFSET($P$12,0,AN$13)</f>
        <v>0</v>
      </c>
      <c r="AO12" s="165">
        <f t="shared" ca="1" si="1"/>
        <v>0</v>
      </c>
      <c r="AP12" s="165">
        <f t="shared" ca="1" si="1"/>
        <v>0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>
        <f ca="1">OFFSET($P$12,0,AX$13)</f>
        <v>0</v>
      </c>
      <c r="AY12" s="165">
        <f t="shared" ref="AY12:BG12" ca="1" si="2">OFFSET($P$12,0,AY$13)</f>
        <v>0</v>
      </c>
      <c r="AZ12" s="165">
        <f t="shared" ca="1" si="2"/>
        <v>0</v>
      </c>
      <c r="BA12" s="165">
        <f t="shared" ca="1" si="2"/>
        <v>0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(Sem Código)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24" t="str">
        <f>Import.DescLote</f>
        <v xml:space="preserve">SEDE ESPORTIVA </v>
      </c>
      <c r="F15" s="624"/>
      <c r="G15" s="624"/>
      <c r="H15" s="624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ROUND(SUM(OFFSET(AB$15,1,0):AB$165),2)</f>
        <v>0</v>
      </c>
      <c r="AC15" s="189">
        <f ca="1">SUM(OFFSET(AC$15,1,0):AC$165)</f>
        <v>0</v>
      </c>
      <c r="AD15" s="189">
        <f ca="1">SUM(OFFSET(AD$15,1,0):AD$165)</f>
        <v>0</v>
      </c>
      <c r="AE15" s="189">
        <f ca="1">SUM(OFFSET(AE$15,1,0):AE$165)</f>
        <v>0</v>
      </c>
      <c r="AF15" s="189">
        <f ca="1">SUM(OFFSET(AF$15,1,0):AF$165)</f>
        <v>0</v>
      </c>
      <c r="AG15" s="189">
        <f ca="1">SUM(OFFSET(AG$15,1,0):AG$165)</f>
        <v>0</v>
      </c>
      <c r="AH15" s="189">
        <f ca="1">SUM(OFFSET(AH$15,1,0):AH$165)</f>
        <v>0</v>
      </c>
      <c r="AI15" s="189">
        <f ca="1">SUM(OFFSET(AI$15,1,0):AI$165)</f>
        <v>0</v>
      </c>
      <c r="AJ15" s="189">
        <f ca="1">SUM(OFFSET(AJ$15,1,0):AJ$165)</f>
        <v>0</v>
      </c>
      <c r="AK15" s="189">
        <f ca="1">SUM(OFFSET(AK$15,1,0):AK$165)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t="shared" ref="A16:A114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SERVIÇOS PRELIMINARES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7" t="str">
        <f t="shared" ca="1" si="8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 xml:space="preserve">PROJETOS E EXECUÇÃO 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12.75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>F</v>
      </c>
      <c r="D18" s="118" t="str">
        <f ca="1">OFFSET(ORÇAMENTO!N$15,ROW(D18)-ROW(D$15),0)</f>
        <v>Serviço</v>
      </c>
      <c r="E18" s="119" t="str">
        <f ca="1">OFFSET(ORÇAMENTO!O$15,ROW(E18)-ROW(E$15),0)</f>
        <v>1.1.1.</v>
      </c>
      <c r="F18" s="172" t="str">
        <f ca="1">OFFSET(ORÇAMENTO!R$15,ROW(F18)-ROW(F$15),0)</f>
        <v xml:space="preserve">PROJETO ESTRTUTURAL </v>
      </c>
      <c r="G18" s="173" t="str">
        <f ca="1">IF($D18&lt;&gt;"Serviço","",OFFSET(ORÇAMENTO!S$15,ROW(G18)-ROW(G$15),0))</f>
        <v xml:space="preserve">M2 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195.33</v>
      </c>
      <c r="I18" s="561"/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 xml:space="preserve">PROJETOS E EXECUÇÃO </v>
      </c>
      <c r="O18" s="178"/>
      <c r="Q18" s="178"/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1000000000000</v>
      </c>
      <c r="AN18" s="181">
        <f ca="1">IF($D18&lt;&gt;"Serviço",0,IF(AND(AUTOEVENTO="Manual",$M18=1),0,IF(OFFSET(CRONOPLE!$F$14,$M18,AN$13)="",10^12,OFFSET(CRONOPLE!$F$14,$M18,AN$13))))</f>
        <v>1000000000000</v>
      </c>
      <c r="AO18" s="181">
        <f ca="1">IF($D18&lt;&gt;"Serviço",0,IF(AND(AUTOEVENTO="Manual",$M18=1),0,IF(OFFSET(CRONOPLE!$F$14,$M18,AO$13)="",10^12,OFFSET(CRONOPLE!$F$14,$M18,AO$13))))</f>
        <v>1000000000000</v>
      </c>
      <c r="AP18" s="181">
        <f ca="1">IF($D18&lt;&gt;"Serviço",0,IF(AND(AUTOEVENTO="Manual",$M18=1),0,IF(OFFSET(CRONOPLE!$F$14,$M18,AP$13)="",10^12,OFFSET(CRONOPLE!$F$14,$M18,AP$13))))</f>
        <v>1000000000000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12.75" x14ac:dyDescent="0.2">
      <c r="A19" s="7" t="str">
        <f t="shared" ca="1" si="8"/>
        <v>2</v>
      </c>
      <c r="B19" s="7" t="str">
        <f ca="1">OFFSET(ORÇAMENTO!C$15,ROW(B19)-ROW(B$15),0)</f>
        <v>S</v>
      </c>
      <c r="C19" s="7" t="str">
        <f ca="1">OFFSET(ORÇAMENTO!L$15,ROW(C19)-ROW(C$15),0)</f>
        <v>F</v>
      </c>
      <c r="D19" s="118" t="str">
        <f ca="1">OFFSET(ORÇAMENTO!N$15,ROW(D19)-ROW(D$15),0)</f>
        <v>Serviço</v>
      </c>
      <c r="E19" s="119" t="str">
        <f ca="1">OFFSET(ORÇAMENTO!O$15,ROW(E19)-ROW(E$15),0)</f>
        <v>1.1.2.</v>
      </c>
      <c r="F19" s="172" t="str">
        <f ca="1">OFFSET(ORÇAMENTO!R$15,ROW(F19)-ROW(F$15),0)</f>
        <v xml:space="preserve">PROJETO HIDROSSANITÁRIO </v>
      </c>
      <c r="G19" s="173" t="str">
        <f ca="1">IF($D19&lt;&gt;"Serviço","",OFFSET(ORÇAMENTO!S$15,ROW(G19)-ROW(G$15),0))</f>
        <v xml:space="preserve">M2 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195.33</v>
      </c>
      <c r="I19" s="561"/>
      <c r="K19" s="174"/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 xml:space="preserve">PROJETOS E EXECUÇÃO </v>
      </c>
      <c r="O19" s="178"/>
      <c r="Q19" s="178"/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1000000000000</v>
      </c>
      <c r="AN19" s="181">
        <f ca="1">IF($D19&lt;&gt;"Serviço",0,IF(AND(AUTOEVENTO="Manual",$M19=1),0,IF(OFFSET(CRONOPLE!$F$14,$M19,AN$13)="",10^12,OFFSET(CRONOPLE!$F$14,$M19,AN$13))))</f>
        <v>1000000000000</v>
      </c>
      <c r="AO19" s="181">
        <f ca="1">IF($D19&lt;&gt;"Serviço",0,IF(AND(AUTOEVENTO="Manual",$M19=1),0,IF(OFFSET(CRONOPLE!$F$14,$M19,AO$13)="",10^12,OFFSET(CRONOPLE!$F$14,$M19,AO$13))))</f>
        <v>1000000000000</v>
      </c>
      <c r="AP19" s="181">
        <f ca="1">IF($D19&lt;&gt;"Serviço",0,IF(AND(AUTOEVENTO="Manual",$M19=1),0,IF(OFFSET(CRONOPLE!$F$14,$M19,AP$13)="",10^12,OFFSET(CRONOPLE!$F$14,$M19,AP$13))))</f>
        <v>1000000000000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12.75" x14ac:dyDescent="0.2">
      <c r="A20" s="7" t="str">
        <f t="shared" ca="1" si="8"/>
        <v>2</v>
      </c>
      <c r="B20" s="7" t="str">
        <f ca="1">OFFSET(ORÇAMENTO!C$15,ROW(B20)-ROW(B$15),0)</f>
        <v>S</v>
      </c>
      <c r="C20" s="7" t="str">
        <f ca="1">OFFSET(ORÇAMENTO!L$15,ROW(C20)-ROW(C$15),0)</f>
        <v>F</v>
      </c>
      <c r="D20" s="118" t="str">
        <f ca="1">OFFSET(ORÇAMENTO!N$15,ROW(D20)-ROW(D$15),0)</f>
        <v>Serviço</v>
      </c>
      <c r="E20" s="119" t="str">
        <f ca="1">OFFSET(ORÇAMENTO!O$15,ROW(E20)-ROW(E$15),0)</f>
        <v>1.1.3.</v>
      </c>
      <c r="F20" s="172" t="str">
        <f ca="1">OFFSET(ORÇAMENTO!R$15,ROW(F20)-ROW(F$15),0)</f>
        <v xml:space="preserve">PROJETO ELÉTRICO </v>
      </c>
      <c r="G20" s="173" t="str">
        <f ca="1">IF($D20&lt;&gt;"Serviço","",OFFSET(ORÇAMENTO!S$15,ROW(G20)-ROW(G$15),0))</f>
        <v xml:space="preserve">M2 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195.33</v>
      </c>
      <c r="I20" s="561"/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 xml:space="preserve">PROJETOS E EXECUÇÃO </v>
      </c>
      <c r="O20" s="178"/>
      <c r="Q20" s="178"/>
      <c r="R20" s="179"/>
      <c r="S20" s="179"/>
      <c r="T20" s="179"/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1000000000000</v>
      </c>
      <c r="AN20" s="181">
        <f ca="1">IF($D20&lt;&gt;"Serviço",0,IF(AND(AUTOEVENTO="Manual",$M20=1),0,IF(OFFSET(CRONOPLE!$F$14,$M20,AN$13)="",10^12,OFFSET(CRONOPLE!$F$14,$M20,AN$13))))</f>
        <v>1000000000000</v>
      </c>
      <c r="AO20" s="181">
        <f ca="1">IF($D20&lt;&gt;"Serviço",0,IF(AND(AUTOEVENTO="Manual",$M20=1),0,IF(OFFSET(CRONOPLE!$F$14,$M20,AO$13)="",10^12,OFFSET(CRONOPLE!$F$14,$M20,AO$13))))</f>
        <v>1000000000000</v>
      </c>
      <c r="AP20" s="181">
        <f ca="1">IF($D20&lt;&gt;"Serviço",0,IF(AND(AUTOEVENTO="Manual",$M20=1),0,IF(OFFSET(CRONOPLE!$F$14,$M20,AP$13)="",10^12,OFFSET(CRONOPLE!$F$14,$M20,AP$13))))</f>
        <v>1000000000000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12.75" x14ac:dyDescent="0.2">
      <c r="A21" s="7" t="str">
        <f ca="1">IF(AUTOEVENTO="Manual",IF(K21&lt;&gt;"",MIN(VALUE(LEFT(K21,FIND(".",K21)-1)),COUNTA(EVENTOS.Lista)),0),IF(OR($B21&gt;AUTOEVENTO,$B21="S",$B21=0),SUBSTITUTE(OFFSET($A21,-1,0),IF($D21="Serviço",".",""),""),ROW(A21)-ROW($A$15)&amp;"."))</f>
        <v>2</v>
      </c>
      <c r="B21" s="7" t="str">
        <f ca="1">OFFSET(ORÇAMENTO!C$15,ROW(B21)-ROW(B$15),0)</f>
        <v>S</v>
      </c>
      <c r="C21" s="7" t="str">
        <f ca="1">OFFSET(ORÇAMENTO!L$15,ROW(C21)-ROW(C$15),0)</f>
        <v>F</v>
      </c>
      <c r="D21" s="118" t="str">
        <f ca="1">OFFSET(ORÇAMENTO!N$15,ROW(D21)-ROW(D$15),0)</f>
        <v>Serviço</v>
      </c>
      <c r="E21" s="119" t="str">
        <f ca="1">OFFSET(ORÇAMENTO!O$15,ROW(E21)-ROW(E$15),0)</f>
        <v>1.1.4.</v>
      </c>
      <c r="F21" s="172" t="str">
        <f ca="1">OFFSET(ORÇAMENTO!R$15,ROW(F21)-ROW(F$15),0)</f>
        <v xml:space="preserve">PROJETO PREVENTIVO DE INCENDIO </v>
      </c>
      <c r="G21" s="173" t="str">
        <f ca="1">IF($D21&lt;&gt;"Serviço","",OFFSET(ORÇAMENTO!S$15,ROW(G21)-ROW(G$15),0))</f>
        <v xml:space="preserve">M2 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195.33</v>
      </c>
      <c r="I21" s="561"/>
      <c r="K21" s="174"/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177" t="str">
        <f ca="1">IF($D21&lt;&gt;"Serviço","",IF(AUTOEVENTO="Manual",IF($A21=0,"&lt;-- defina o número do agrupador",OFFSET(EVENTOS!$D$14,$A21,0)),OFFSET($F$15,$A21,0)))</f>
        <v xml:space="preserve">PROJETOS E EXECUÇÃO </v>
      </c>
      <c r="O21" s="178"/>
      <c r="Q21" s="178"/>
      <c r="R21" s="179"/>
      <c r="S21" s="179"/>
      <c r="T21" s="179"/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1000000000000</v>
      </c>
      <c r="AN21" s="181">
        <f ca="1">IF($D21&lt;&gt;"Serviço",0,IF(AND(AUTOEVENTO="Manual",$M21=1),0,IF(OFFSET(CRONOPLE!$F$14,$M21,AN$13)="",10^12,OFFSET(CRONOPLE!$F$14,$M21,AN$13))))</f>
        <v>1000000000000</v>
      </c>
      <c r="AO21" s="181">
        <f ca="1">IF($D21&lt;&gt;"Serviço",0,IF(AND(AUTOEVENTO="Manual",$M21=1),0,IF(OFFSET(CRONOPLE!$F$14,$M21,AO$13)="",10^12,OFFSET(CRONOPLE!$F$14,$M21,AO$13))))</f>
        <v>1000000000000</v>
      </c>
      <c r="AP21" s="181">
        <f ca="1">IF($D21&lt;&gt;"Serviço",0,IF(AND(AUTOEVENTO="Manual",$M21=1),0,IF(OFFSET(CRONOPLE!$F$14,$M21,AP$13)="",10^12,OFFSET(CRONOPLE!$F$14,$M21,AP$13))))</f>
        <v>1000000000000</v>
      </c>
      <c r="AQ21" s="181">
        <f ca="1">IF($D21&lt;&gt;"Serviço",0,IF(AND(AUTOEVENTO="Manual",$M21=1),0,IF(OFFSET(CRONOPLE!$F$14,$M21,AQ$13)="",10^12,OFFSET(CRONOPLE!$F$14,$M21,AQ$13))))</f>
        <v>1000000000000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25.5" x14ac:dyDescent="0.2">
      <c r="A22" s="7" t="str">
        <f ca="1">IF(AUTOEVENTO="Manual",IF(K22&lt;&gt;"",MIN(VALUE(LEFT(K22,FIND(".",K22)-1)),COUNTA(EVENTOS.Lista)),0),IF(OR($B22&gt;AUTOEVENTO,$B22="S",$B22=0),SUBSTITUTE(OFFSET($A22,-1,0),IF($D22="Serviço",".",""),""),ROW(A22)-ROW($A$15)&amp;"."))</f>
        <v>2</v>
      </c>
      <c r="B22" s="7" t="str">
        <f ca="1">OFFSET(ORÇAMENTO!C$15,ROW(B22)-ROW(B$15),0)</f>
        <v>S</v>
      </c>
      <c r="C22" s="7" t="str">
        <f ca="1">OFFSET(ORÇAMENTO!L$15,ROW(C22)-ROW(C$15),0)</f>
        <v>F</v>
      </c>
      <c r="D22" s="118" t="str">
        <f ca="1">OFFSET(ORÇAMENTO!N$15,ROW(D22)-ROW(D$15),0)</f>
        <v>Serviço</v>
      </c>
      <c r="E22" s="119" t="str">
        <f ca="1">OFFSET(ORÇAMENTO!O$15,ROW(E22)-ROW(E$15),0)</f>
        <v>1.1.5.</v>
      </c>
      <c r="F22" s="172" t="str">
        <f ca="1">OFFSET(ORÇAMENTO!R$15,ROW(F22)-ROW(F$15),0)</f>
        <v>ENGENHEIRO CIVIL DE OBRA JUNIOR COM ENCARGOS COMPLEMENTARES</v>
      </c>
      <c r="G22" s="173" t="str">
        <f ca="1">IF($D22&lt;&gt;"Serviço","",OFFSET(ORÇAMENTO!S$15,ROW(G22)-ROW(G$15),0))</f>
        <v>H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6</v>
      </c>
      <c r="I22" s="561"/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177" t="str">
        <f ca="1">IF($D22&lt;&gt;"Serviço","",IF(AUTOEVENTO="Manual",IF($A22=0,"&lt;-- defina o número do agrupador",OFFSET(EVENTOS!$D$14,$A22,0)),OFFSET($F$15,$A22,0)))</f>
        <v xml:space="preserve">PROJETOS E EXECUÇÃO </v>
      </c>
      <c r="O22" s="178"/>
      <c r="Q22" s="178"/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1000000000000</v>
      </c>
      <c r="AN22" s="181">
        <f ca="1">IF($D22&lt;&gt;"Serviço",0,IF(AND(AUTOEVENTO="Manual",$M22=1),0,IF(OFFSET(CRONOPLE!$F$14,$M22,AN$13)="",10^12,OFFSET(CRONOPLE!$F$14,$M22,AN$13))))</f>
        <v>1000000000000</v>
      </c>
      <c r="AO22" s="181">
        <f ca="1">IF($D22&lt;&gt;"Serviço",0,IF(AND(AUTOEVENTO="Manual",$M22=1),0,IF(OFFSET(CRONOPLE!$F$14,$M22,AO$13)="",10^12,OFFSET(CRONOPLE!$F$14,$M22,AO$13))))</f>
        <v>1000000000000</v>
      </c>
      <c r="AP22" s="181">
        <f ca="1">IF($D22&lt;&gt;"Serviço",0,IF(AND(AUTOEVENTO="Manual",$M22=1),0,IF(OFFSET(CRONOPLE!$F$14,$M22,AP$13)="",10^12,OFFSET(CRONOPLE!$F$14,$M22,AP$13))))</f>
        <v>1000000000000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12.75" x14ac:dyDescent="0.2">
      <c r="A23" s="7" t="str">
        <f t="shared" ref="A23:A26" ca="1" si="9">IF(AUTOEVENTO="Manual",IF(K23&lt;&gt;"",MIN(VALUE(LEFT(K23,FIND(".",K23)-1)),COUNTA(EVENTOS.Lista)),0),IF(OR($B23&gt;AUTOEVENTO,$B23="S",$B23=0),SUBSTITUTE(OFFSET($A23,-1,0),IF($D23="Serviço",".",""),""),ROW(A23)-ROW($A$15)&amp;"."))</f>
        <v>8.</v>
      </c>
      <c r="B23" s="7">
        <f ca="1">OFFSET(ORÇAMENTO!C$15,ROW(B23)-ROW(B$15),0)</f>
        <v>2</v>
      </c>
      <c r="C23" s="7" t="str">
        <f ca="1">OFFSET(ORÇAMENTO!L$15,ROW(C23)-ROW(C$15),0)</f>
        <v>F</v>
      </c>
      <c r="D23" s="118" t="str">
        <f ca="1">OFFSET(ORÇAMENTO!N$15,ROW(D23)-ROW(D$15),0)</f>
        <v>Nível 2</v>
      </c>
      <c r="E23" s="119" t="str">
        <f ca="1">OFFSET(ORÇAMENTO!O$15,ROW(E23)-ROW(E$15),0)</f>
        <v>1.2.</v>
      </c>
      <c r="F23" s="172" t="str">
        <f ca="1">OFFSET(ORÇAMENTO!R$15,ROW(F23)-ROW(F$15),0)</f>
        <v xml:space="preserve">SERVIÇOS INICIAIS E LOCAÇÃO </v>
      </c>
      <c r="G23" s="173" t="str">
        <f ca="1">IF($D23&lt;&gt;"Serviço","",OFFSET(ORÇAMENTO!S$15,ROW(G23)-ROW(G$15),0))</f>
        <v/>
      </c>
      <c r="H23" s="124">
        <f ca="1">IF($D23&lt;&gt;"Serviço",0,IF(ACOMPANHAMENTO="BM",ROUND(OFFSET(ORÇAMENTO!AJ$15,ROW(H23)-ROW(H$15),0),15-13*ORÇAMENTO!$AF$7),SUMPRODUCT(($Q$12:$AA$12&lt;&gt;"")*ROUND($Q23:$AA23,15-13*ORÇAMENTO!$AF$7))))</f>
        <v>0</v>
      </c>
      <c r="I23" s="561"/>
      <c r="K23" s="174"/>
      <c r="L23" s="175" t="s">
        <v>255</v>
      </c>
      <c r="M23" s="176" t="str">
        <f ca="1">IF($D23&lt;&gt;"Serviço","",IF(AUTOEVENTO="manual",$A23,IF(ISERROR(MATCH($A23,$A$15:OFFSET($A23,-1,0),0)),MAX($M$15:OFFSET(M23,-1,0))+1,INDEX($M$15:OFFSET(M23,-1,0),MATCH($A23,$A$15:OFFSET($A23,-1,0),0)))))</f>
        <v/>
      </c>
      <c r="N23" s="177" t="str">
        <f ca="1">IF($D23&lt;&gt;"Serviço","",IF(AUTOEVENTO="Manual",IF($A23=0,"&lt;-- defina o número do agrupador",OFFSET(EVENTOS!$D$14,$A23,0)),OFFSET($F$15,$A23,0)))</f>
        <v/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0</v>
      </c>
      <c r="AN23" s="181">
        <f ca="1">IF($D23&lt;&gt;"Serviço",0,IF(AND(AUTOEVENTO="Manual",$M23=1),0,IF(OFFSET(CRONOPLE!$F$14,$M23,AN$13)="",10^12,OFFSET(CRONOPLE!$F$14,$M23,AN$13))))</f>
        <v>0</v>
      </c>
      <c r="AO23" s="181">
        <f ca="1">IF($D23&lt;&gt;"Serviço",0,IF(AND(AUTOEVENTO="Manual",$M23=1),0,IF(OFFSET(CRONOPLE!$F$14,$M23,AO$13)="",10^12,OFFSET(CRONOPLE!$F$14,$M23,AO$13))))</f>
        <v>0</v>
      </c>
      <c r="AP23" s="181">
        <f ca="1">IF($D23&lt;&gt;"Serviço",0,IF(AND(AUTOEVENTO="Manual",$M23=1),0,IF(OFFSET(CRONOPLE!$F$14,$M23,AP$13)="",10^12,OFFSET(CRONOPLE!$F$14,$M23,AP$13))))</f>
        <v>0</v>
      </c>
      <c r="AQ23" s="181">
        <f ca="1">IF($D23&lt;&gt;"Serviço",0,IF(AND(AUTOEVENTO="Manual",$M23=1),0,IF(OFFSET(CRONOPLE!$F$14,$M23,AQ$13)="",10^12,OFFSET(CRONOPLE!$F$14,$M23,AQ$13))))</f>
        <v>0</v>
      </c>
      <c r="AR23" s="181">
        <f ca="1">IF($D23&lt;&gt;"Serviço",0,IF(AND(AUTOEVENTO="Manual",$M23=1),0,IF(OFFSET(CRONOPLE!$F$14,$M23,AR$13)="",10^12,OFFSET(CRONOPLE!$F$14,$M23,AR$13))))</f>
        <v>0</v>
      </c>
      <c r="AS23" s="181">
        <f ca="1">IF($D23&lt;&gt;"Serviço",0,IF(AND(AUTOEVENTO="Manual",$M23=1),0,IF(OFFSET(CRONOPLE!$F$14,$M23,AS$13)="",10^12,OFFSET(CRONOPLE!$F$14,$M23,AS$13))))</f>
        <v>0</v>
      </c>
      <c r="AT23" s="181">
        <f ca="1">IF($D23&lt;&gt;"Serviço",0,IF(AND(AUTOEVENTO="Manual",$M23=1),0,IF(OFFSET(CRONOPLE!$F$14,$M23,AT$13)="",10^12,OFFSET(CRONOPLE!$F$14,$M23,AT$13))))</f>
        <v>0</v>
      </c>
      <c r="AU23" s="181">
        <f ca="1">IF($D23&lt;&gt;"Serviço",0,IF(AND(AUTOEVENTO="Manual",$M23=1),0,IF(OFFSET(CRONOPLE!$F$14,$M23,AU$13)="",10^12,OFFSET(CRONOPLE!$F$14,$M23,AU$13))))</f>
        <v>0</v>
      </c>
      <c r="AV23" s="181">
        <f ca="1">IF($D23&lt;&gt;"Serviço",0,IF(AND(AUTOEVENTO="Manual",$M23=1),0,IF(OFFSET(CRONOPLE!$F$14,$M23,AV$13)="",10^12,OFFSET(CRONOPLE!$F$14,$M23,AV$13))))</f>
        <v>0</v>
      </c>
      <c r="AX23" s="182">
        <f ca="1">IF($D23&lt;&gt;"Serviço",0,IF(OR(AND(AUTOEVENTO="Manual",$M23=1),$M23&gt;(ROW(PLE.lastrow)-ROW(PLE.firstrow))),0,IF(OFFSET(PLE!$G$14,$M23,AX$13)="",10^12,OFFSET(PLE!$G$14,$M23,AX$13))))</f>
        <v>0</v>
      </c>
      <c r="AY23" s="182">
        <f ca="1">IF($D23&lt;&gt;"Serviço",0,IF(OR(AND(AUTOEVENTO="Manual",$M23=1),$M23&gt;(ROW(PLE.lastrow)-ROW(PLE.firstrow))),0,IF(OFFSET(PLE!$G$14,$M23,AY$13)="",10^12,OFFSET(PLE!$G$14,$M23,AY$13))))</f>
        <v>0</v>
      </c>
      <c r="AZ23" s="182">
        <f ca="1">IF($D23&lt;&gt;"Serviço",0,IF(OR(AND(AUTOEVENTO="Manual",$M23=1),$M23&gt;(ROW(PLE.lastrow)-ROW(PLE.firstrow))),0,IF(OFFSET(PLE!$G$14,$M23,AZ$13)="",10^12,OFFSET(PLE!$G$14,$M23,AZ$13))))</f>
        <v>0</v>
      </c>
      <c r="BA23" s="182">
        <f ca="1">IF($D23&lt;&gt;"Serviço",0,IF(OR(AND(AUTOEVENTO="Manual",$M23=1),$M23&gt;(ROW(PLE.lastrow)-ROW(PLE.firstrow))),0,IF(OFFSET(PLE!$G$14,$M23,BA$13)="",10^12,OFFSET(PLE!$G$14,$M23,BA$13))))</f>
        <v>0</v>
      </c>
      <c r="BB23" s="182">
        <f ca="1">IF($D23&lt;&gt;"Serviço",0,IF(OR(AND(AUTOEVENTO="Manual",$M23=1),$M23&gt;(ROW(PLE.lastrow)-ROW(PLE.firstrow))),0,IF(OFFSET(PLE!$G$14,$M23,BB$13)="",10^12,OFFSET(PLE!$G$14,$M23,BB$13))))</f>
        <v>0</v>
      </c>
      <c r="BC23" s="182">
        <f ca="1">IF($D23&lt;&gt;"Serviço",0,IF(OR(AND(AUTOEVENTO="Manual",$M23=1),$M23&gt;(ROW(PLE.lastrow)-ROW(PLE.firstrow))),0,IF(OFFSET(PLE!$G$14,$M23,BC$13)="",10^12,OFFSET(PLE!$G$14,$M23,BC$13))))</f>
        <v>0</v>
      </c>
      <c r="BD23" s="182">
        <f ca="1">IF($D23&lt;&gt;"Serviço",0,IF(OR(AND(AUTOEVENTO="Manual",$M23=1),$M23&gt;(ROW(PLE.lastrow)-ROW(PLE.firstrow))),0,IF(OFFSET(PLE!$G$14,$M23,BD$13)="",10^12,OFFSET(PLE!$G$14,$M23,BD$13))))</f>
        <v>0</v>
      </c>
      <c r="BE23" s="182">
        <f ca="1">IF($D23&lt;&gt;"Serviço",0,IF(OR(AND(AUTOEVENTO="Manual",$M23=1),$M23&gt;(ROW(PLE.lastrow)-ROW(PLE.firstrow))),0,IF(OFFSET(PLE!$G$14,$M23,BE$13)="",10^12,OFFSET(PLE!$G$14,$M23,BE$13))))</f>
        <v>0</v>
      </c>
      <c r="BF23" s="182">
        <f ca="1">IF($D23&lt;&gt;"Serviço",0,IF(OR(AND(AUTOEVENTO="Manual",$M23=1),$M23&gt;(ROW(PLE.lastrow)-ROW(PLE.firstrow))),0,IF(OFFSET(PLE!$G$14,$M23,BF$13)="",10^12,OFFSET(PLE!$G$14,$M23,BF$13))))</f>
        <v>0</v>
      </c>
      <c r="BG23" s="182">
        <f ca="1">IF($D23&lt;&gt;"Serviço",0,IF(OR(AND(AUTOEVENTO="Manual",$M23=1),$M23&gt;(ROW(PLE.lastrow)-ROW(PLE.firstrow))),0,IF(OFFSET(PLE!$G$14,$M23,BG$13)="",10^12,OFFSET(PLE!$G$14,$M23,BG$13))))</f>
        <v>0</v>
      </c>
    </row>
    <row r="24" spans="1:59" ht="25.5" x14ac:dyDescent="0.2">
      <c r="A24" s="7" t="str">
        <f ca="1">IF(AUTOEVENTO="Manual",IF(K24&lt;&gt;"",MIN(VALUE(LEFT(K24,FIND(".",K24)-1)),COUNTA(EVENTOS.Lista)),0),IF(OR($B24&gt;AUTOEVENTO,$B24="S",$B24=0),SUBSTITUTE(OFFSET($A24,-1,0),IF($D24="Serviço",".",""),""),ROW(A24)-ROW($A$15)&amp;"."))</f>
        <v>8</v>
      </c>
      <c r="B24" s="7" t="str">
        <f ca="1">OFFSET(ORÇAMENTO!C$15,ROW(B24)-ROW(B$15),0)</f>
        <v>S</v>
      </c>
      <c r="C24" s="7" t="str">
        <f ca="1">OFFSET(ORÇAMENTO!L$15,ROW(C24)-ROW(C$15),0)</f>
        <v>F</v>
      </c>
      <c r="D24" s="118" t="str">
        <f ca="1">OFFSET(ORÇAMENTO!N$15,ROW(D24)-ROW(D$15),0)</f>
        <v>Serviço</v>
      </c>
      <c r="E24" s="119" t="str">
        <f ca="1">OFFSET(ORÇAMENTO!O$15,ROW(E24)-ROW(E$15),0)</f>
        <v>1.2.1.</v>
      </c>
      <c r="F24" s="172" t="str">
        <f ca="1">OFFSET(ORÇAMENTO!R$15,ROW(F24)-ROW(F$15),0)</f>
        <v>CORTE RASO E RECORTE DE ÁRVORE COM DIÂMETRO DE TRONCO MAIOR OU IGUAL A 0,60 M. AF_03/2024</v>
      </c>
      <c r="G24" s="173" t="str">
        <f ca="1">IF($D24&lt;&gt;"Serviço","",OFFSET(ORÇAMENTO!S$15,ROW(G24)-ROW(G$15),0))</f>
        <v>UN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3</v>
      </c>
      <c r="I24" s="561"/>
      <c r="K24" s="174"/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177" t="str">
        <f ca="1">IF($D24&lt;&gt;"Serviço","",IF(AUTOEVENTO="Manual",IF($A24=0,"&lt;-- defina o número do agrupador",OFFSET(EVENTOS!$D$14,$A24,0)),OFFSET($F$15,$A24,0)))</f>
        <v xml:space="preserve">SERVIÇOS INICIAIS E LOCAÇÃO </v>
      </c>
      <c r="O24" s="178"/>
      <c r="Q24" s="178"/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1000000000000</v>
      </c>
      <c r="AN24" s="181">
        <f ca="1">IF($D24&lt;&gt;"Serviço",0,IF(AND(AUTOEVENTO="Manual",$M24=1),0,IF(OFFSET(CRONOPLE!$F$14,$M24,AN$13)="",10^12,OFFSET(CRONOPLE!$F$14,$M24,AN$13))))</f>
        <v>1000000000000</v>
      </c>
      <c r="AO24" s="181">
        <f ca="1">IF($D24&lt;&gt;"Serviço",0,IF(AND(AUTOEVENTO="Manual",$M24=1),0,IF(OFFSET(CRONOPLE!$F$14,$M24,AO$13)="",10^12,OFFSET(CRONOPLE!$F$14,$M24,AO$13))))</f>
        <v>1000000000000</v>
      </c>
      <c r="AP24" s="181">
        <f ca="1">IF($D24&lt;&gt;"Serviço",0,IF(AND(AUTOEVENTO="Manual",$M24=1),0,IF(OFFSET(CRONOPLE!$F$14,$M24,AP$13)="",10^12,OFFSET(CRONOPLE!$F$14,$M24,AP$13))))</f>
        <v>1000000000000</v>
      </c>
      <c r="AQ24" s="181">
        <f ca="1">IF($D24&lt;&gt;"Serviço",0,IF(AND(AUTOEVENTO="Manual",$M24=1),0,IF(OFFSET(CRONOPLE!$F$14,$M24,AQ$13)="",10^12,OFFSET(CRONOPLE!$F$14,$M24,AQ$13))))</f>
        <v>1000000000000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25.5" x14ac:dyDescent="0.2">
      <c r="A25" s="7" t="str">
        <f t="shared" ca="1" si="9"/>
        <v>8</v>
      </c>
      <c r="B25" s="7" t="str">
        <f ca="1">OFFSET(ORÇAMENTO!C$15,ROW(B25)-ROW(B$15),0)</f>
        <v>S</v>
      </c>
      <c r="C25" s="7" t="str">
        <f ca="1">OFFSET(ORÇAMENTO!L$15,ROW(C25)-ROW(C$15),0)</f>
        <v>F</v>
      </c>
      <c r="D25" s="118" t="str">
        <f ca="1">OFFSET(ORÇAMENTO!N$15,ROW(D25)-ROW(D$15),0)</f>
        <v>Serviço</v>
      </c>
      <c r="E25" s="119" t="str">
        <f ca="1">OFFSET(ORÇAMENTO!O$15,ROW(E25)-ROW(E$15),0)</f>
        <v>1.2.2.</v>
      </c>
      <c r="F25" s="172" t="str">
        <f ca="1">OFFSET(ORÇAMENTO!R$15,ROW(F25)-ROW(F$15),0)</f>
        <v>FORNECIMENTO E INSTALAÇÃO DE PLACA DE OBRA COM CHAPA GALVANIZADA E ESTRUTURA DE MADEIRA. AF_03/2022_PS</v>
      </c>
      <c r="G25" s="173" t="str">
        <f ca="1">IF($D25&lt;&gt;"Serviço","",OFFSET(ORÇAMENTO!S$15,ROW(G25)-ROW(G$15),0))</f>
        <v>M2</v>
      </c>
      <c r="H25" s="124">
        <f ca="1">IF($D25&lt;&gt;"Serviço",0,IF(ACOMPANHAMENTO="BM",ROUND(OFFSET(ORÇAMENTO!AJ$15,ROW(H25)-ROW(H$15),0),15-13*ORÇAMENTO!$AF$7),SUMPRODUCT(($Q$12:$AA$12&lt;&gt;"")*ROUND($Q25:$AA25,15-13*ORÇAMENTO!$AF$7))))</f>
        <v>3</v>
      </c>
      <c r="I25" s="561"/>
      <c r="K25" s="174"/>
      <c r="L25" s="175" t="s">
        <v>255</v>
      </c>
      <c r="M25" s="176">
        <f ca="1">IF($D25&lt;&gt;"Serviço","",IF(AUTOEVENTO="manual",$A25,IF(ISERROR(MATCH($A25,$A$15:OFFSET($A25,-1,0),0)),MAX($M$15:OFFSET(M25,-1,0))+1,INDEX($M$15:OFFSET(M25,-1,0),MATCH($A25,$A$15:OFFSET($A25,-1,0),0)))))</f>
        <v>3</v>
      </c>
      <c r="N25" s="177" t="str">
        <f ca="1">IF($D25&lt;&gt;"Serviço","",IF(AUTOEVENTO="Manual",IF($A25=0,"&lt;-- defina o número do agrupador",OFFSET(EVENTOS!$D$14,$A25,0)),OFFSET($F$15,$A25,0)))</f>
        <v xml:space="preserve">SERVIÇOS INICIAIS E LOCAÇÃO </v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1000000000000</v>
      </c>
      <c r="AN25" s="181">
        <f ca="1">IF($D25&lt;&gt;"Serviço",0,IF(AND(AUTOEVENTO="Manual",$M25=1),0,IF(OFFSET(CRONOPLE!$F$14,$M25,AN$13)="",10^12,OFFSET(CRONOPLE!$F$14,$M25,AN$13))))</f>
        <v>1000000000000</v>
      </c>
      <c r="AO25" s="181">
        <f ca="1">IF($D25&lt;&gt;"Serviço",0,IF(AND(AUTOEVENTO="Manual",$M25=1),0,IF(OFFSET(CRONOPLE!$F$14,$M25,AO$13)="",10^12,OFFSET(CRONOPLE!$F$14,$M25,AO$13))))</f>
        <v>1000000000000</v>
      </c>
      <c r="AP25" s="181">
        <f ca="1">IF($D25&lt;&gt;"Serviço",0,IF(AND(AUTOEVENTO="Manual",$M25=1),0,IF(OFFSET(CRONOPLE!$F$14,$M25,AP$13)="",10^12,OFFSET(CRONOPLE!$F$14,$M25,AP$13))))</f>
        <v>1000000000000</v>
      </c>
      <c r="AQ25" s="181">
        <f ca="1">IF($D25&lt;&gt;"Serviço",0,IF(AND(AUTOEVENTO="Manual",$M25=1),0,IF(OFFSET(CRONOPLE!$F$14,$M25,AQ$13)="",10^12,OFFSET(CRONOPLE!$F$14,$M25,AQ$13))))</f>
        <v>1000000000000</v>
      </c>
      <c r="AR25" s="181">
        <f ca="1">IF($D25&lt;&gt;"Serviço",0,IF(AND(AUTOEVENTO="Manual",$M25=1),0,IF(OFFSET(CRONOPLE!$F$14,$M25,AR$13)="",10^12,OFFSET(CRONOPLE!$F$14,$M25,AR$13))))</f>
        <v>1000000000000</v>
      </c>
      <c r="AS25" s="181">
        <f ca="1">IF($D25&lt;&gt;"Serviço",0,IF(AND(AUTOEVENTO="Manual",$M25=1),0,IF(OFFSET(CRONOPLE!$F$14,$M25,AS$13)="",10^12,OFFSET(CRONOPLE!$F$14,$M25,AS$13))))</f>
        <v>1000000000000</v>
      </c>
      <c r="AT25" s="181">
        <f ca="1">IF($D25&lt;&gt;"Serviço",0,IF(AND(AUTOEVENTO="Manual",$M25=1),0,IF(OFFSET(CRONOPLE!$F$14,$M25,AT$13)="",10^12,OFFSET(CRONOPLE!$F$14,$M25,AT$13))))</f>
        <v>1000000000000</v>
      </c>
      <c r="AU25" s="181">
        <f ca="1">IF($D25&lt;&gt;"Serviço",0,IF(AND(AUTOEVENTO="Manual",$M25=1),0,IF(OFFSET(CRONOPLE!$F$14,$M25,AU$13)="",10^12,OFFSET(CRONOPLE!$F$14,$M25,AU$13))))</f>
        <v>1000000000000</v>
      </c>
      <c r="AV25" s="181">
        <f ca="1">IF($D25&lt;&gt;"Serviço",0,IF(AND(AUTOEVENTO="Manual",$M25=1),0,IF(OFFSET(CRONOPLE!$F$14,$M25,AV$13)="",10^12,OFFSET(CRONOPLE!$F$14,$M25,AV$13))))</f>
        <v>1000000000000</v>
      </c>
      <c r="AX25" s="182">
        <f ca="1">IF($D25&lt;&gt;"Serviço",0,IF(OR(AND(AUTOEVENTO="Manual",$M25=1),$M25&gt;(ROW(PLE.lastrow)-ROW(PLE.firstrow))),0,IF(OFFSET(PLE!$G$14,$M25,AX$13)="",10^12,OFFSET(PLE!$G$14,$M25,AX$13))))</f>
        <v>1000000000000</v>
      </c>
      <c r="AY25" s="182">
        <f ca="1">IF($D25&lt;&gt;"Serviço",0,IF(OR(AND(AUTOEVENTO="Manual",$M25=1),$M25&gt;(ROW(PLE.lastrow)-ROW(PLE.firstrow))),0,IF(OFFSET(PLE!$G$14,$M25,AY$13)="",10^12,OFFSET(PLE!$G$14,$M25,AY$13))))</f>
        <v>1000000000000</v>
      </c>
      <c r="AZ25" s="182">
        <f ca="1">IF($D25&lt;&gt;"Serviço",0,IF(OR(AND(AUTOEVENTO="Manual",$M25=1),$M25&gt;(ROW(PLE.lastrow)-ROW(PLE.firstrow))),0,IF(OFFSET(PLE!$G$14,$M25,AZ$13)="",10^12,OFFSET(PLE!$G$14,$M25,AZ$13))))</f>
        <v>1000000000000</v>
      </c>
      <c r="BA25" s="182">
        <f ca="1">IF($D25&lt;&gt;"Serviço",0,IF(OR(AND(AUTOEVENTO="Manual",$M25=1),$M25&gt;(ROW(PLE.lastrow)-ROW(PLE.firstrow))),0,IF(OFFSET(PLE!$G$14,$M25,BA$13)="",10^12,OFFSET(PLE!$G$14,$M25,BA$13))))</f>
        <v>1000000000000</v>
      </c>
      <c r="BB25" s="182">
        <f ca="1">IF($D25&lt;&gt;"Serviço",0,IF(OR(AND(AUTOEVENTO="Manual",$M25=1),$M25&gt;(ROW(PLE.lastrow)-ROW(PLE.firstrow))),0,IF(OFFSET(PLE!$G$14,$M25,BB$13)="",10^12,OFFSET(PLE!$G$14,$M25,BB$13))))</f>
        <v>1000000000000</v>
      </c>
      <c r="BC25" s="182">
        <f ca="1">IF($D25&lt;&gt;"Serviço",0,IF(OR(AND(AUTOEVENTO="Manual",$M25=1),$M25&gt;(ROW(PLE.lastrow)-ROW(PLE.firstrow))),0,IF(OFFSET(PLE!$G$14,$M25,BC$13)="",10^12,OFFSET(PLE!$G$14,$M25,BC$13))))</f>
        <v>1000000000000</v>
      </c>
      <c r="BD25" s="182">
        <f ca="1">IF($D25&lt;&gt;"Serviço",0,IF(OR(AND(AUTOEVENTO="Manual",$M25=1),$M25&gt;(ROW(PLE.lastrow)-ROW(PLE.firstrow))),0,IF(OFFSET(PLE!$G$14,$M25,BD$13)="",10^12,OFFSET(PLE!$G$14,$M25,BD$13))))</f>
        <v>1000000000000</v>
      </c>
      <c r="BE25" s="182">
        <f ca="1">IF($D25&lt;&gt;"Serviço",0,IF(OR(AND(AUTOEVENTO="Manual",$M25=1),$M25&gt;(ROW(PLE.lastrow)-ROW(PLE.firstrow))),0,IF(OFFSET(PLE!$G$14,$M25,BE$13)="",10^12,OFFSET(PLE!$G$14,$M25,BE$13))))</f>
        <v>1000000000000</v>
      </c>
      <c r="BF25" s="182">
        <f ca="1">IF($D25&lt;&gt;"Serviço",0,IF(OR(AND(AUTOEVENTO="Manual",$M25=1),$M25&gt;(ROW(PLE.lastrow)-ROW(PLE.firstrow))),0,IF(OFFSET(PLE!$G$14,$M25,BF$13)="",10^12,OFFSET(PLE!$G$14,$M25,BF$13))))</f>
        <v>1000000000000</v>
      </c>
      <c r="BG25" s="182">
        <f ca="1">IF($D25&lt;&gt;"Serviço",0,IF(OR(AND(AUTOEVENTO="Manual",$M25=1),$M25&gt;(ROW(PLE.lastrow)-ROW(PLE.firstrow))),0,IF(OFFSET(PLE!$G$14,$M25,BG$13)="",10^12,OFFSET(PLE!$G$14,$M25,BG$13))))</f>
        <v>1000000000000</v>
      </c>
    </row>
    <row r="26" spans="1:59" ht="38.25" x14ac:dyDescent="0.2">
      <c r="A26" s="7" t="str">
        <f t="shared" ca="1" si="9"/>
        <v>8</v>
      </c>
      <c r="B26" s="7" t="str">
        <f ca="1">OFFSET(ORÇAMENTO!C$15,ROW(B26)-ROW(B$15),0)</f>
        <v>S</v>
      </c>
      <c r="C26" s="7" t="str">
        <f ca="1">OFFSET(ORÇAMENTO!L$15,ROW(C26)-ROW(C$15),0)</f>
        <v>F</v>
      </c>
      <c r="D26" s="118" t="str">
        <f ca="1">OFFSET(ORÇAMENTO!N$15,ROW(D26)-ROW(D$15),0)</f>
        <v>Serviço</v>
      </c>
      <c r="E26" s="119" t="str">
        <f ca="1">OFFSET(ORÇAMENTO!O$15,ROW(E26)-ROW(E$15),0)</f>
        <v>1.2.3.</v>
      </c>
      <c r="F26" s="172" t="str">
        <f ca="1">OFFSET(ORÇAMENTO!R$15,ROW(F26)-ROW(F$15),0)</f>
        <v>LOCAÇÃO CONVENCIONAL DE OBRA, UTILIZANDO GABARITO DE TÁBUAS CORRIDAS PONTALETADAS A CADA 2,00M - 2 UTILIZAÇÕES. AF_03/2024</v>
      </c>
      <c r="G26" s="173" t="str">
        <f ca="1">IF($D26&lt;&gt;"Serviço","",OFFSET(ORÇAMENTO!S$15,ROW(G26)-ROW(G$15),0))</f>
        <v>M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20.6</v>
      </c>
      <c r="I26" s="561"/>
      <c r="K26" s="174"/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3</v>
      </c>
      <c r="N26" s="177" t="str">
        <f ca="1">IF($D26&lt;&gt;"Serviço","",IF(AUTOEVENTO="Manual",IF($A26=0,"&lt;-- defina o número do agrupador",OFFSET(EVENTOS!$D$14,$A26,0)),OFFSET($F$15,$A26,0)))</f>
        <v xml:space="preserve">SERVIÇOS INICIAIS E LOCAÇÃO </v>
      </c>
      <c r="O26" s="178"/>
      <c r="Q26" s="178"/>
      <c r="R26" s="179"/>
      <c r="S26" s="179"/>
      <c r="T26" s="179"/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1000000000000</v>
      </c>
      <c r="AN26" s="181">
        <f ca="1">IF($D26&lt;&gt;"Serviço",0,IF(AND(AUTOEVENTO="Manual",$M26=1),0,IF(OFFSET(CRONOPLE!$F$14,$M26,AN$13)="",10^12,OFFSET(CRONOPLE!$F$14,$M26,AN$13))))</f>
        <v>1000000000000</v>
      </c>
      <c r="AO26" s="181">
        <f ca="1">IF($D26&lt;&gt;"Serviço",0,IF(AND(AUTOEVENTO="Manual",$M26=1),0,IF(OFFSET(CRONOPLE!$F$14,$M26,AO$13)="",10^12,OFFSET(CRONOPLE!$F$14,$M26,AO$13))))</f>
        <v>1000000000000</v>
      </c>
      <c r="AP26" s="181">
        <f ca="1">IF($D26&lt;&gt;"Serviço",0,IF(AND(AUTOEVENTO="Manual",$M26=1),0,IF(OFFSET(CRONOPLE!$F$14,$M26,AP$13)="",10^12,OFFSET(CRONOPLE!$F$14,$M26,AP$13))))</f>
        <v>1000000000000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12.75" x14ac:dyDescent="0.2">
      <c r="A27" s="7" t="str">
        <f t="shared" ca="1" si="8"/>
        <v>12.</v>
      </c>
      <c r="B27" s="7">
        <f ca="1">OFFSET(ORÇAMENTO!C$15,ROW(B27)-ROW(B$15),0)</f>
        <v>1</v>
      </c>
      <c r="C27" s="7" t="str">
        <f ca="1">OFFSET(ORÇAMENTO!L$15,ROW(C27)-ROW(C$15),0)</f>
        <v>F</v>
      </c>
      <c r="D27" s="118" t="str">
        <f ca="1">OFFSET(ORÇAMENTO!N$15,ROW(D27)-ROW(D$15),0)</f>
        <v>Meta</v>
      </c>
      <c r="E27" s="119" t="str">
        <f ca="1">OFFSET(ORÇAMENTO!O$15,ROW(E27)-ROW(E$15),0)</f>
        <v>2.</v>
      </c>
      <c r="F27" s="172" t="str">
        <f ca="1">OFFSET(ORÇAMENTO!R$15,ROW(F27)-ROW(F$15),0)</f>
        <v xml:space="preserve">FUNDAÇÕES </v>
      </c>
      <c r="G27" s="173" t="str">
        <f ca="1">IF($D27&lt;&gt;"Serviço","",OFFSET(ORÇAMENTO!S$15,ROW(G27)-ROW(G$15),0))</f>
        <v/>
      </c>
      <c r="H27" s="124">
        <f ca="1">IF($D27&lt;&gt;"Serviço",0,IF(ACOMPANHAMENTO="BM",ROUND(OFFSET(ORÇAMENTO!AJ$15,ROW(H27)-ROW(H$15),0),15-13*ORÇAMENTO!$AF$7),SUMPRODUCT(($Q$12:$AA$12&lt;&gt;"")*ROUND($Q27:$AA27,15-13*ORÇAMENTO!$AF$7))))</f>
        <v>0</v>
      </c>
      <c r="I27" s="561"/>
      <c r="K27" s="174"/>
      <c r="L27" s="175" t="s">
        <v>255</v>
      </c>
      <c r="M27" s="176" t="str">
        <f ca="1">IF($D27&lt;&gt;"Serviço","",IF(AUTOEVENTO="manual",$A27,IF(ISERROR(MATCH($A27,$A$15:OFFSET($A27,-1,0),0)),MAX($M$15:OFFSET(M27,-1,0))+1,INDEX($M$15:OFFSET(M27,-1,0),MATCH($A27,$A$15:OFFSET($A27,-1,0),0)))))</f>
        <v/>
      </c>
      <c r="N27" s="177" t="str">
        <f ca="1">IF($D27&lt;&gt;"Serviço","",IF(AUTOEVENTO="Manual",IF($A27=0,"&lt;-- defina o número do agrupador",OFFSET(EVENTOS!$D$14,$A27,0)),OFFSET($F$15,$A27,0)))</f>
        <v/>
      </c>
      <c r="O27" s="178"/>
      <c r="Q27" s="178"/>
      <c r="R27" s="179"/>
      <c r="S27" s="179"/>
      <c r="T27" s="179"/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545">
        <f ca="1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545">
        <f ca="1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545">
        <f ca="1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0</v>
      </c>
      <c r="AN27" s="181">
        <f ca="1">IF($D27&lt;&gt;"Serviço",0,IF(AND(AUTOEVENTO="Manual",$M27=1),0,IF(OFFSET(CRONOPLE!$F$14,$M27,AN$13)="",10^12,OFFSET(CRONOPLE!$F$14,$M27,AN$13))))</f>
        <v>0</v>
      </c>
      <c r="AO27" s="181">
        <f ca="1">IF($D27&lt;&gt;"Serviço",0,IF(AND(AUTOEVENTO="Manual",$M27=1),0,IF(OFFSET(CRONOPLE!$F$14,$M27,AO$13)="",10^12,OFFSET(CRONOPLE!$F$14,$M27,AO$13))))</f>
        <v>0</v>
      </c>
      <c r="AP27" s="181">
        <f ca="1">IF($D27&lt;&gt;"Serviço",0,IF(AND(AUTOEVENTO="Manual",$M27=1),0,IF(OFFSET(CRONOPLE!$F$14,$M27,AP$13)="",10^12,OFFSET(CRONOPLE!$F$14,$M27,AP$13))))</f>
        <v>0</v>
      </c>
      <c r="AQ27" s="181">
        <f ca="1">IF($D27&lt;&gt;"Serviço",0,IF(AND(AUTOEVENTO="Manual",$M27=1),0,IF(OFFSET(CRONOPLE!$F$14,$M27,AQ$13)="",10^12,OFFSET(CRONOPLE!$F$14,$M27,AQ$13))))</f>
        <v>0</v>
      </c>
      <c r="AR27" s="181">
        <f ca="1">IF($D27&lt;&gt;"Serviço",0,IF(AND(AUTOEVENTO="Manual",$M27=1),0,IF(OFFSET(CRONOPLE!$F$14,$M27,AR$13)="",10^12,OFFSET(CRONOPLE!$F$14,$M27,AR$13))))</f>
        <v>0</v>
      </c>
      <c r="AS27" s="181">
        <f ca="1">IF($D27&lt;&gt;"Serviço",0,IF(AND(AUTOEVENTO="Manual",$M27=1),0,IF(OFFSET(CRONOPLE!$F$14,$M27,AS$13)="",10^12,OFFSET(CRONOPLE!$F$14,$M27,AS$13))))</f>
        <v>0</v>
      </c>
      <c r="AT27" s="181">
        <f ca="1">IF($D27&lt;&gt;"Serviço",0,IF(AND(AUTOEVENTO="Manual",$M27=1),0,IF(OFFSET(CRONOPLE!$F$14,$M27,AT$13)="",10^12,OFFSET(CRONOPLE!$F$14,$M27,AT$13))))</f>
        <v>0</v>
      </c>
      <c r="AU27" s="181">
        <f ca="1">IF($D27&lt;&gt;"Serviço",0,IF(AND(AUTOEVENTO="Manual",$M27=1),0,IF(OFFSET(CRONOPLE!$F$14,$M27,AU$13)="",10^12,OFFSET(CRONOPLE!$F$14,$M27,AU$13))))</f>
        <v>0</v>
      </c>
      <c r="AV27" s="181">
        <f ca="1">IF($D27&lt;&gt;"Serviço",0,IF(AND(AUTOEVENTO="Manual",$M27=1),0,IF(OFFSET(CRONOPLE!$F$14,$M27,AV$13)="",10^12,OFFSET(CRONOPLE!$F$14,$M27,AV$13))))</f>
        <v>0</v>
      </c>
      <c r="AX27" s="182">
        <f ca="1">IF($D27&lt;&gt;"Serviço",0,IF(OR(AND(AUTOEVENTO="Manual",$M27=1),$M27&gt;(ROW(PLE.lastrow)-ROW(PLE.firstrow))),0,IF(OFFSET(PLE!$G$14,$M27,AX$13)="",10^12,OFFSET(PLE!$G$14,$M27,AX$13))))</f>
        <v>0</v>
      </c>
      <c r="AY27" s="182">
        <f ca="1">IF($D27&lt;&gt;"Serviço",0,IF(OR(AND(AUTOEVENTO="Manual",$M27=1),$M27&gt;(ROW(PLE.lastrow)-ROW(PLE.firstrow))),0,IF(OFFSET(PLE!$G$14,$M27,AY$13)="",10^12,OFFSET(PLE!$G$14,$M27,AY$13))))</f>
        <v>0</v>
      </c>
      <c r="AZ27" s="182">
        <f ca="1">IF($D27&lt;&gt;"Serviço",0,IF(OR(AND(AUTOEVENTO="Manual",$M27=1),$M27&gt;(ROW(PLE.lastrow)-ROW(PLE.firstrow))),0,IF(OFFSET(PLE!$G$14,$M27,AZ$13)="",10^12,OFFSET(PLE!$G$14,$M27,AZ$13))))</f>
        <v>0</v>
      </c>
      <c r="BA27" s="182">
        <f ca="1">IF($D27&lt;&gt;"Serviço",0,IF(OR(AND(AUTOEVENTO="Manual",$M27=1),$M27&gt;(ROW(PLE.lastrow)-ROW(PLE.firstrow))),0,IF(OFFSET(PLE!$G$14,$M27,BA$13)="",10^12,OFFSET(PLE!$G$14,$M27,BA$13))))</f>
        <v>0</v>
      </c>
      <c r="BB27" s="182">
        <f ca="1">IF($D27&lt;&gt;"Serviço",0,IF(OR(AND(AUTOEVENTO="Manual",$M27=1),$M27&gt;(ROW(PLE.lastrow)-ROW(PLE.firstrow))),0,IF(OFFSET(PLE!$G$14,$M27,BB$13)="",10^12,OFFSET(PLE!$G$14,$M27,BB$13))))</f>
        <v>0</v>
      </c>
      <c r="BC27" s="182">
        <f ca="1">IF($D27&lt;&gt;"Serviço",0,IF(OR(AND(AUTOEVENTO="Manual",$M27=1),$M27&gt;(ROW(PLE.lastrow)-ROW(PLE.firstrow))),0,IF(OFFSET(PLE!$G$14,$M27,BC$13)="",10^12,OFFSET(PLE!$G$14,$M27,BC$13))))</f>
        <v>0</v>
      </c>
      <c r="BD27" s="182">
        <f ca="1">IF($D27&lt;&gt;"Serviço",0,IF(OR(AND(AUTOEVENTO="Manual",$M27=1),$M27&gt;(ROW(PLE.lastrow)-ROW(PLE.firstrow))),0,IF(OFFSET(PLE!$G$14,$M27,BD$13)="",10^12,OFFSET(PLE!$G$14,$M27,BD$13))))</f>
        <v>0</v>
      </c>
      <c r="BE27" s="182">
        <f ca="1">IF($D27&lt;&gt;"Serviço",0,IF(OR(AND(AUTOEVENTO="Manual",$M27=1),$M27&gt;(ROW(PLE.lastrow)-ROW(PLE.firstrow))),0,IF(OFFSET(PLE!$G$14,$M27,BE$13)="",10^12,OFFSET(PLE!$G$14,$M27,BE$13))))</f>
        <v>0</v>
      </c>
      <c r="BF27" s="182">
        <f ca="1">IF($D27&lt;&gt;"Serviço",0,IF(OR(AND(AUTOEVENTO="Manual",$M27=1),$M27&gt;(ROW(PLE.lastrow)-ROW(PLE.firstrow))),0,IF(OFFSET(PLE!$G$14,$M27,BF$13)="",10^12,OFFSET(PLE!$G$14,$M27,BF$13))))</f>
        <v>0</v>
      </c>
      <c r="BG27" s="182">
        <f ca="1">IF($D27&lt;&gt;"Serviço",0,IF(OR(AND(AUTOEVENTO="Manual",$M27=1),$M27&gt;(ROW(PLE.lastrow)-ROW(PLE.firstrow))),0,IF(OFFSET(PLE!$G$14,$M27,BG$13)="",10^12,OFFSET(PLE!$G$14,$M27,BG$13))))</f>
        <v>0</v>
      </c>
    </row>
    <row r="28" spans="1:59" ht="12.75" x14ac:dyDescent="0.2">
      <c r="A28" s="7" t="str">
        <f ca="1">IF(AUTOEVENTO="Manual",IF(K28&lt;&gt;"",MIN(VALUE(LEFT(K28,FIND(".",K28)-1)),COUNTA(EVENTOS.Lista)),0),IF(OR($B28&gt;AUTOEVENTO,$B28="S",$B28=0),SUBSTITUTE(OFFSET($A28,-1,0),IF($D28="Serviço",".",""),""),ROW(A28)-ROW($A$15)&amp;"."))</f>
        <v>13.</v>
      </c>
      <c r="B28" s="7">
        <f ca="1">OFFSET(ORÇAMENTO!C$15,ROW(B28)-ROW(B$15),0)</f>
        <v>2</v>
      </c>
      <c r="C28" s="7" t="str">
        <f ca="1">OFFSET(ORÇAMENTO!L$15,ROW(C28)-ROW(C$15),0)</f>
        <v>F</v>
      </c>
      <c r="D28" s="118" t="str">
        <f ca="1">OFFSET(ORÇAMENTO!N$15,ROW(D28)-ROW(D$15),0)</f>
        <v>Nível 2</v>
      </c>
      <c r="E28" s="119" t="str">
        <f ca="1">OFFSET(ORÇAMENTO!O$15,ROW(E28)-ROW(E$15),0)</f>
        <v>2.1.</v>
      </c>
      <c r="F28" s="172" t="str">
        <f ca="1">OFFSET(ORÇAMENTO!R$15,ROW(F28)-ROW(F$15),0)</f>
        <v>SAPATA ISOLADA</v>
      </c>
      <c r="G28" s="173" t="str">
        <f ca="1">IF($D28&lt;&gt;"Serviço","",OFFSET(ORÇAMENTO!S$15,ROW(G28)-ROW(G$15),0))</f>
        <v/>
      </c>
      <c r="H28" s="124">
        <f ca="1">IF($D28&lt;&gt;"Serviço",0,IF(ACOMPANHAMENTO="BM",ROUND(OFFSET(ORÇAMENTO!AJ$15,ROW(H28)-ROW(H$15),0),15-13*ORÇAMENTO!$AF$7),SUMPRODUCT(($Q$12:$AA$12&lt;&gt;"")*ROUND($Q28:$AA28,15-13*ORÇAMENTO!$AF$7))))</f>
        <v>0</v>
      </c>
      <c r="I28" s="561"/>
      <c r="K28" s="174"/>
      <c r="L28" s="175" t="s">
        <v>255</v>
      </c>
      <c r="M28" s="176" t="str">
        <f ca="1">IF($D28&lt;&gt;"Serviço","",IF(AUTOEVENTO="manual",$A28,IF(ISERROR(MATCH($A28,$A$15:OFFSET($A28,-1,0),0)),MAX($M$15:OFFSET(M28,-1,0))+1,INDEX($M$15:OFFSET(M28,-1,0),MATCH($A28,$A$15:OFFSET($A28,-1,0),0)))))</f>
        <v/>
      </c>
      <c r="N28" s="177" t="str">
        <f ca="1">IF($D28&lt;&gt;"Serviço","",IF(AUTOEVENTO="Manual",IF($A28=0,"&lt;-- defina o número do agrupador",OFFSET(EVENTOS!$D$14,$A28,0)),OFFSET($F$15,$A28,0)))</f>
        <v/>
      </c>
      <c r="O28" s="178"/>
      <c r="Q28" s="178"/>
      <c r="R28" s="179"/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545">
        <f ca="1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0</v>
      </c>
      <c r="AN28" s="181">
        <f ca="1">IF($D28&lt;&gt;"Serviço",0,IF(AND(AUTOEVENTO="Manual",$M28=1),0,IF(OFFSET(CRONOPLE!$F$14,$M28,AN$13)="",10^12,OFFSET(CRONOPLE!$F$14,$M28,AN$13))))</f>
        <v>0</v>
      </c>
      <c r="AO28" s="181">
        <f ca="1">IF($D28&lt;&gt;"Serviço",0,IF(AND(AUTOEVENTO="Manual",$M28=1),0,IF(OFFSET(CRONOPLE!$F$14,$M28,AO$13)="",10^12,OFFSET(CRONOPLE!$F$14,$M28,AO$13))))</f>
        <v>0</v>
      </c>
      <c r="AP28" s="181">
        <f ca="1">IF($D28&lt;&gt;"Serviço",0,IF(AND(AUTOEVENTO="Manual",$M28=1),0,IF(OFFSET(CRONOPLE!$F$14,$M28,AP$13)="",10^12,OFFSET(CRONOPLE!$F$14,$M28,AP$13))))</f>
        <v>0</v>
      </c>
      <c r="AQ28" s="181">
        <f ca="1">IF($D28&lt;&gt;"Serviço",0,IF(AND(AUTOEVENTO="Manual",$M28=1),0,IF(OFFSET(CRONOPLE!$F$14,$M28,AQ$13)="",10^12,OFFSET(CRONOPLE!$F$14,$M28,AQ$13))))</f>
        <v>0</v>
      </c>
      <c r="AR28" s="181">
        <f ca="1">IF($D28&lt;&gt;"Serviço",0,IF(AND(AUTOEVENTO="Manual",$M28=1),0,IF(OFFSET(CRONOPLE!$F$14,$M28,AR$13)="",10^12,OFFSET(CRONOPLE!$F$14,$M28,AR$13))))</f>
        <v>0</v>
      </c>
      <c r="AS28" s="181">
        <f ca="1">IF($D28&lt;&gt;"Serviço",0,IF(AND(AUTOEVENTO="Manual",$M28=1),0,IF(OFFSET(CRONOPLE!$F$14,$M28,AS$13)="",10^12,OFFSET(CRONOPLE!$F$14,$M28,AS$13))))</f>
        <v>0</v>
      </c>
      <c r="AT28" s="181">
        <f ca="1">IF($D28&lt;&gt;"Serviço",0,IF(AND(AUTOEVENTO="Manual",$M28=1),0,IF(OFFSET(CRONOPLE!$F$14,$M28,AT$13)="",10^12,OFFSET(CRONOPLE!$F$14,$M28,AT$13))))</f>
        <v>0</v>
      </c>
      <c r="AU28" s="181">
        <f ca="1">IF($D28&lt;&gt;"Serviço",0,IF(AND(AUTOEVENTO="Manual",$M28=1),0,IF(OFFSET(CRONOPLE!$F$14,$M28,AU$13)="",10^12,OFFSET(CRONOPLE!$F$14,$M28,AU$13))))</f>
        <v>0</v>
      </c>
      <c r="AV28" s="181">
        <f ca="1">IF($D28&lt;&gt;"Serviço",0,IF(AND(AUTOEVENTO="Manual",$M28=1),0,IF(OFFSET(CRONOPLE!$F$14,$M28,AV$13)="",10^12,OFFSET(CRONOPLE!$F$14,$M28,AV$13))))</f>
        <v>0</v>
      </c>
      <c r="AX28" s="182">
        <f ca="1">IF($D28&lt;&gt;"Serviço",0,IF(OR(AND(AUTOEVENTO="Manual",$M28=1),$M28&gt;(ROW(PLE.lastrow)-ROW(PLE.firstrow))),0,IF(OFFSET(PLE!$G$14,$M28,AX$13)="",10^12,OFFSET(PLE!$G$14,$M28,AX$13))))</f>
        <v>0</v>
      </c>
      <c r="AY28" s="182">
        <f ca="1">IF($D28&lt;&gt;"Serviço",0,IF(OR(AND(AUTOEVENTO="Manual",$M28=1),$M28&gt;(ROW(PLE.lastrow)-ROW(PLE.firstrow))),0,IF(OFFSET(PLE!$G$14,$M28,AY$13)="",10^12,OFFSET(PLE!$G$14,$M28,AY$13))))</f>
        <v>0</v>
      </c>
      <c r="AZ28" s="182">
        <f ca="1">IF($D28&lt;&gt;"Serviço",0,IF(OR(AND(AUTOEVENTO="Manual",$M28=1),$M28&gt;(ROW(PLE.lastrow)-ROW(PLE.firstrow))),0,IF(OFFSET(PLE!$G$14,$M28,AZ$13)="",10^12,OFFSET(PLE!$G$14,$M28,AZ$13))))</f>
        <v>0</v>
      </c>
      <c r="BA28" s="182">
        <f ca="1">IF($D28&lt;&gt;"Serviço",0,IF(OR(AND(AUTOEVENTO="Manual",$M28=1),$M28&gt;(ROW(PLE.lastrow)-ROW(PLE.firstrow))),0,IF(OFFSET(PLE!$G$14,$M28,BA$13)="",10^12,OFFSET(PLE!$G$14,$M28,BA$13))))</f>
        <v>0</v>
      </c>
      <c r="BB28" s="182">
        <f ca="1">IF($D28&lt;&gt;"Serviço",0,IF(OR(AND(AUTOEVENTO="Manual",$M28=1),$M28&gt;(ROW(PLE.lastrow)-ROW(PLE.firstrow))),0,IF(OFFSET(PLE!$G$14,$M28,BB$13)="",10^12,OFFSET(PLE!$G$14,$M28,BB$13))))</f>
        <v>0</v>
      </c>
      <c r="BC28" s="182">
        <f ca="1">IF($D28&lt;&gt;"Serviço",0,IF(OR(AND(AUTOEVENTO="Manual",$M28=1),$M28&gt;(ROW(PLE.lastrow)-ROW(PLE.firstrow))),0,IF(OFFSET(PLE!$G$14,$M28,BC$13)="",10^12,OFFSET(PLE!$G$14,$M28,BC$13))))</f>
        <v>0</v>
      </c>
      <c r="BD28" s="182">
        <f ca="1">IF($D28&lt;&gt;"Serviço",0,IF(OR(AND(AUTOEVENTO="Manual",$M28=1),$M28&gt;(ROW(PLE.lastrow)-ROW(PLE.firstrow))),0,IF(OFFSET(PLE!$G$14,$M28,BD$13)="",10^12,OFFSET(PLE!$G$14,$M28,BD$13))))</f>
        <v>0</v>
      </c>
      <c r="BE28" s="182">
        <f ca="1">IF($D28&lt;&gt;"Serviço",0,IF(OR(AND(AUTOEVENTO="Manual",$M28=1),$M28&gt;(ROW(PLE.lastrow)-ROW(PLE.firstrow))),0,IF(OFFSET(PLE!$G$14,$M28,BE$13)="",10^12,OFFSET(PLE!$G$14,$M28,BE$13))))</f>
        <v>0</v>
      </c>
      <c r="BF28" s="182">
        <f ca="1">IF($D28&lt;&gt;"Serviço",0,IF(OR(AND(AUTOEVENTO="Manual",$M28=1),$M28&gt;(ROW(PLE.lastrow)-ROW(PLE.firstrow))),0,IF(OFFSET(PLE!$G$14,$M28,BF$13)="",10^12,OFFSET(PLE!$G$14,$M28,BF$13))))</f>
        <v>0</v>
      </c>
      <c r="BG28" s="182">
        <f ca="1">IF($D28&lt;&gt;"Serviço",0,IF(OR(AND(AUTOEVENTO="Manual",$M28=1),$M28&gt;(ROW(PLE.lastrow)-ROW(PLE.firstrow))),0,IF(OFFSET(PLE!$G$14,$M28,BG$13)="",10^12,OFFSET(PLE!$G$14,$M28,BG$13))))</f>
        <v>0</v>
      </c>
    </row>
    <row r="29" spans="1:59" ht="63.75" x14ac:dyDescent="0.2">
      <c r="A29" s="7" t="str">
        <f t="shared" ca="1" si="8"/>
        <v>13</v>
      </c>
      <c r="B29" s="7" t="str">
        <f ca="1">OFFSET(ORÇAMENTO!C$15,ROW(B29)-ROW(B$15),0)</f>
        <v>S</v>
      </c>
      <c r="C29" s="7" t="str">
        <f ca="1">OFFSET(ORÇAMENTO!L$15,ROW(C29)-ROW(C$15),0)</f>
        <v>F</v>
      </c>
      <c r="D29" s="118" t="str">
        <f ca="1">OFFSET(ORÇAMENTO!N$15,ROW(D29)-ROW(D$15),0)</f>
        <v>Serviço</v>
      </c>
      <c r="E29" s="119" t="str">
        <f ca="1">OFFSET(ORÇAMENTO!O$15,ROW(E29)-ROW(E$15),0)</f>
        <v>2.1.1.</v>
      </c>
      <c r="F29" s="172" t="str">
        <f ca="1">OFFSET(ORÇAMENTO!R$15,ROW(F29)-ROW(F$15),0)</f>
        <v>ESCAVAÇÃO MECANIZADA DE VALA COM PROF. ATÉ 1,5 M (MÉDIA MONTANTE E JUSANTE/UMA COMPOSIÇÃO POR TRECHO), RETROESCAV. (0,26 M3), LARG. MENOR QUE 0,8 M, EM SOLO DE 1A CATEGORIA, EM LOCAIS COM ALTO NÍVEL DE INTERFERÊNCIA. AF_09/2024</v>
      </c>
      <c r="G29" s="173" t="str">
        <f ca="1">IF($D29&lt;&gt;"Serviço","",OFFSET(ORÇAMENTO!S$15,ROW(G29)-ROW(G$15),0))</f>
        <v>M3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24.3</v>
      </c>
      <c r="I29" s="561"/>
      <c r="K29" s="174"/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177" t="str">
        <f ca="1">IF($D29&lt;&gt;"Serviço","",IF(AUTOEVENTO="Manual",IF($A29=0,"&lt;-- defina o número do agrupador",OFFSET(EVENTOS!$D$14,$A29,0)),OFFSET($F$15,$A29,0)))</f>
        <v>SAPATA ISOLADA</v>
      </c>
      <c r="O29" s="178"/>
      <c r="Q29" s="178"/>
      <c r="R29" s="179"/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545">
        <f ca="1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1000000000000</v>
      </c>
      <c r="AN29" s="181">
        <f ca="1">IF($D29&lt;&gt;"Serviço",0,IF(AND(AUTOEVENTO="Manual",$M29=1),0,IF(OFFSET(CRONOPLE!$F$14,$M29,AN$13)="",10^12,OFFSET(CRONOPLE!$F$14,$M29,AN$13))))</f>
        <v>1000000000000</v>
      </c>
      <c r="AO29" s="181">
        <f ca="1">IF($D29&lt;&gt;"Serviço",0,IF(AND(AUTOEVENTO="Manual",$M29=1),0,IF(OFFSET(CRONOPLE!$F$14,$M29,AO$13)="",10^12,OFFSET(CRONOPLE!$F$14,$M29,AO$13))))</f>
        <v>1000000000000</v>
      </c>
      <c r="AP29" s="181">
        <f ca="1">IF($D29&lt;&gt;"Serviço",0,IF(AND(AUTOEVENTO="Manual",$M29=1),0,IF(OFFSET(CRONOPLE!$F$14,$M29,AP$13)="",10^12,OFFSET(CRONOPLE!$F$14,$M29,AP$13))))</f>
        <v>1000000000000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25.5" x14ac:dyDescent="0.2">
      <c r="A30" s="7" t="str">
        <f t="shared" ca="1" si="8"/>
        <v>13</v>
      </c>
      <c r="B30" s="7" t="str">
        <f ca="1">OFFSET(ORÇAMENTO!C$15,ROW(B30)-ROW(B$15),0)</f>
        <v>S</v>
      </c>
      <c r="C30" s="7" t="str">
        <f ca="1">OFFSET(ORÇAMENTO!L$15,ROW(C30)-ROW(C$15),0)</f>
        <v>F</v>
      </c>
      <c r="D30" s="118" t="str">
        <f ca="1">OFFSET(ORÇAMENTO!N$15,ROW(D30)-ROW(D$15),0)</f>
        <v>Serviço</v>
      </c>
      <c r="E30" s="119" t="str">
        <f ca="1">OFFSET(ORÇAMENTO!O$15,ROW(E30)-ROW(E$15),0)</f>
        <v>2.1.2.</v>
      </c>
      <c r="F30" s="172" t="str">
        <f ca="1">OFFSET(ORÇAMENTO!R$15,ROW(F30)-ROW(F$15),0)</f>
        <v>CONCRETAGEM DE SAPATA, FCK 30 MPA, COM USO DE BOMBA - LANÇAMENTO, ADENSAMENTO E ACABAMENTO. AF_01/2024</v>
      </c>
      <c r="G30" s="173" t="str">
        <f ca="1">IF($D30&lt;&gt;"Serviço","",OFFSET(ORÇAMENTO!S$15,ROW(G30)-ROW(G$15),0))</f>
        <v>M3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5.76</v>
      </c>
      <c r="I30" s="561"/>
      <c r="K30" s="174"/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4</v>
      </c>
      <c r="N30" s="177" t="str">
        <f ca="1">IF($D30&lt;&gt;"Serviço","",IF(AUTOEVENTO="Manual",IF($A30=0,"&lt;-- defina o número do agrupador",OFFSET(EVENTOS!$D$14,$A30,0)),OFFSET($F$15,$A30,0)))</f>
        <v>SAPATA ISOLADA</v>
      </c>
      <c r="O30" s="178"/>
      <c r="Q30" s="178"/>
      <c r="R30" s="179"/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545">
        <f ca="1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1000000000000</v>
      </c>
      <c r="AN30" s="181">
        <f ca="1">IF($D30&lt;&gt;"Serviço",0,IF(AND(AUTOEVENTO="Manual",$M30=1),0,IF(OFFSET(CRONOPLE!$F$14,$M30,AN$13)="",10^12,OFFSET(CRONOPLE!$F$14,$M30,AN$13))))</f>
        <v>1000000000000</v>
      </c>
      <c r="AO30" s="181">
        <f ca="1">IF($D30&lt;&gt;"Serviço",0,IF(AND(AUTOEVENTO="Manual",$M30=1),0,IF(OFFSET(CRONOPLE!$F$14,$M30,AO$13)="",10^12,OFFSET(CRONOPLE!$F$14,$M30,AO$13))))</f>
        <v>1000000000000</v>
      </c>
      <c r="AP30" s="181">
        <f ca="1">IF($D30&lt;&gt;"Serviço",0,IF(AND(AUTOEVENTO="Manual",$M30=1),0,IF(OFFSET(CRONOPLE!$F$14,$M30,AP$13)="",10^12,OFFSET(CRONOPLE!$F$14,$M30,AP$13))))</f>
        <v>1000000000000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25.5" x14ac:dyDescent="0.2">
      <c r="A31" s="7" t="str">
        <f t="shared" ca="1" si="8"/>
        <v>13</v>
      </c>
      <c r="B31" s="7" t="str">
        <f ca="1">OFFSET(ORÇAMENTO!C$15,ROW(B31)-ROW(B$15),0)</f>
        <v>S</v>
      </c>
      <c r="C31" s="7" t="str">
        <f ca="1">OFFSET(ORÇAMENTO!L$15,ROW(C31)-ROW(C$15),0)</f>
        <v>F</v>
      </c>
      <c r="D31" s="118" t="str">
        <f ca="1">OFFSET(ORÇAMENTO!N$15,ROW(D31)-ROW(D$15),0)</f>
        <v>Serviço</v>
      </c>
      <c r="E31" s="119" t="str">
        <f ca="1">OFFSET(ORÇAMENTO!O$15,ROW(E31)-ROW(E$15),0)</f>
        <v>2.1.3.</v>
      </c>
      <c r="F31" s="172" t="str">
        <f ca="1">OFFSET(ORÇAMENTO!R$15,ROW(F31)-ROW(F$15),0)</f>
        <v>ARMAÇÃO DE BLOCO UTILIZANDO AÇO CA-50 DE 10 MM - MONTAGEM. AF_01/2024</v>
      </c>
      <c r="G31" s="173" t="str">
        <f ca="1">IF($D31&lt;&gt;"Serviço","",OFFSET(ORÇAMENTO!S$15,ROW(G31)-ROW(G$15),0))</f>
        <v>KG</v>
      </c>
      <c r="H31" s="124">
        <f ca="1">IF($D31&lt;&gt;"Serviço",0,IF(ACOMPANHAMENTO="BM",ROUND(OFFSET(ORÇAMENTO!AJ$15,ROW(H31)-ROW(H$15),0),15-13*ORÇAMENTO!$AF$7),SUMPRODUCT(($Q$12:$AA$12&lt;&gt;"")*ROUND($Q31:$AA31,15-13*ORÇAMENTO!$AF$7))))</f>
        <v>266.5</v>
      </c>
      <c r="I31" s="561"/>
      <c r="K31" s="174"/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4</v>
      </c>
      <c r="N31" s="177" t="str">
        <f ca="1">IF($D31&lt;&gt;"Serviço","",IF(AUTOEVENTO="Manual",IF($A31=0,"&lt;-- defina o número do agrupador",OFFSET(EVENTOS!$D$14,$A31,0)),OFFSET($F$15,$A31,0)))</f>
        <v>SAPATA ISOLADA</v>
      </c>
      <c r="O31" s="178"/>
      <c r="Q31" s="178"/>
      <c r="R31" s="179"/>
      <c r="S31" s="179"/>
      <c r="T31" s="179"/>
      <c r="U31" s="179"/>
      <c r="V31" s="179"/>
      <c r="W31" s="179"/>
      <c r="X31" s="179"/>
      <c r="Y31" s="179"/>
      <c r="Z31" s="180"/>
      <c r="AB31" s="544">
        <f ca="1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545">
        <f ca="1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0</v>
      </c>
      <c r="AD31" s="545">
        <f ca="1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545">
        <f ca="1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545">
        <f ca="1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545">
        <f ca="1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545">
        <f ca="1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545">
        <f ca="1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545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546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181">
        <f ca="1">IF($D31&lt;&gt;"Serviço",0,IF(AND(AUTOEVENTO="Manual",$M31=1),0,IF(OFFSET(CRONOPLE!$F$14,$M31,AM$13)="",10^12,OFFSET(CRONOPLE!$F$14,$M31,AM$13))))</f>
        <v>1000000000000</v>
      </c>
      <c r="AN31" s="181">
        <f ca="1">IF($D31&lt;&gt;"Serviço",0,IF(AND(AUTOEVENTO="Manual",$M31=1),0,IF(OFFSET(CRONOPLE!$F$14,$M31,AN$13)="",10^12,OFFSET(CRONOPLE!$F$14,$M31,AN$13))))</f>
        <v>1000000000000</v>
      </c>
      <c r="AO31" s="181">
        <f ca="1">IF($D31&lt;&gt;"Serviço",0,IF(AND(AUTOEVENTO="Manual",$M31=1),0,IF(OFFSET(CRONOPLE!$F$14,$M31,AO$13)="",10^12,OFFSET(CRONOPLE!$F$14,$M31,AO$13))))</f>
        <v>1000000000000</v>
      </c>
      <c r="AP31" s="181">
        <f ca="1">IF($D31&lt;&gt;"Serviço",0,IF(AND(AUTOEVENTO="Manual",$M31=1),0,IF(OFFSET(CRONOPLE!$F$14,$M31,AP$13)="",10^12,OFFSET(CRONOPLE!$F$14,$M31,AP$13))))</f>
        <v>1000000000000</v>
      </c>
      <c r="AQ31" s="181">
        <f ca="1">IF($D31&lt;&gt;"Serviço",0,IF(AND(AUTOEVENTO="Manual",$M31=1),0,IF(OFFSET(CRONOPLE!$F$14,$M31,AQ$13)="",10^12,OFFSET(CRONOPLE!$F$14,$M31,AQ$13))))</f>
        <v>1000000000000</v>
      </c>
      <c r="AR31" s="181">
        <f ca="1">IF($D31&lt;&gt;"Serviço",0,IF(AND(AUTOEVENTO="Manual",$M31=1),0,IF(OFFSET(CRONOPLE!$F$14,$M31,AR$13)="",10^12,OFFSET(CRONOPLE!$F$14,$M31,AR$13))))</f>
        <v>1000000000000</v>
      </c>
      <c r="AS31" s="181">
        <f ca="1">IF($D31&lt;&gt;"Serviço",0,IF(AND(AUTOEVENTO="Manual",$M31=1),0,IF(OFFSET(CRONOPLE!$F$14,$M31,AS$13)="",10^12,OFFSET(CRONOPLE!$F$14,$M31,AS$13))))</f>
        <v>1000000000000</v>
      </c>
      <c r="AT31" s="181">
        <f ca="1">IF($D31&lt;&gt;"Serviço",0,IF(AND(AUTOEVENTO="Manual",$M31=1),0,IF(OFFSET(CRONOPLE!$F$14,$M31,AT$13)="",10^12,OFFSET(CRONOPLE!$F$14,$M31,AT$13))))</f>
        <v>1000000000000</v>
      </c>
      <c r="AU31" s="181">
        <f ca="1">IF($D31&lt;&gt;"Serviço",0,IF(AND(AUTOEVENTO="Manual",$M31=1),0,IF(OFFSET(CRONOPLE!$F$14,$M31,AU$13)="",10^12,OFFSET(CRONOPLE!$F$14,$M31,AU$13))))</f>
        <v>1000000000000</v>
      </c>
      <c r="AV31" s="181">
        <f ca="1">IF($D31&lt;&gt;"Serviço",0,IF(AND(AUTOEVENTO="Manual",$M31=1),0,IF(OFFSET(CRONOPLE!$F$14,$M31,AV$13)="",10^12,OFFSET(CRONOPLE!$F$14,$M31,AV$13))))</f>
        <v>1000000000000</v>
      </c>
      <c r="AX31" s="182">
        <f ca="1">IF($D31&lt;&gt;"Serviço",0,IF(OR(AND(AUTOEVENTO="Manual",$M31=1),$M31&gt;(ROW(PLE.lastrow)-ROW(PLE.firstrow))),0,IF(OFFSET(PLE!$G$14,$M31,AX$13)="",10^12,OFFSET(PLE!$G$14,$M31,AX$13))))</f>
        <v>1000000000000</v>
      </c>
      <c r="AY31" s="182">
        <f ca="1">IF($D31&lt;&gt;"Serviço",0,IF(OR(AND(AUTOEVENTO="Manual",$M31=1),$M31&gt;(ROW(PLE.lastrow)-ROW(PLE.firstrow))),0,IF(OFFSET(PLE!$G$14,$M31,AY$13)="",10^12,OFFSET(PLE!$G$14,$M31,AY$13))))</f>
        <v>1000000000000</v>
      </c>
      <c r="AZ31" s="182">
        <f ca="1">IF($D31&lt;&gt;"Serviço",0,IF(OR(AND(AUTOEVENTO="Manual",$M31=1),$M31&gt;(ROW(PLE.lastrow)-ROW(PLE.firstrow))),0,IF(OFFSET(PLE!$G$14,$M31,AZ$13)="",10^12,OFFSET(PLE!$G$14,$M31,AZ$13))))</f>
        <v>1000000000000</v>
      </c>
      <c r="BA31" s="182">
        <f ca="1">IF($D31&lt;&gt;"Serviço",0,IF(OR(AND(AUTOEVENTO="Manual",$M31=1),$M31&gt;(ROW(PLE.lastrow)-ROW(PLE.firstrow))),0,IF(OFFSET(PLE!$G$14,$M31,BA$13)="",10^12,OFFSET(PLE!$G$14,$M31,BA$13))))</f>
        <v>1000000000000</v>
      </c>
      <c r="BB31" s="182">
        <f ca="1">IF($D31&lt;&gt;"Serviço",0,IF(OR(AND(AUTOEVENTO="Manual",$M31=1),$M31&gt;(ROW(PLE.lastrow)-ROW(PLE.firstrow))),0,IF(OFFSET(PLE!$G$14,$M31,BB$13)="",10^12,OFFSET(PLE!$G$14,$M31,BB$13))))</f>
        <v>1000000000000</v>
      </c>
      <c r="BC31" s="182">
        <f ca="1">IF($D31&lt;&gt;"Serviço",0,IF(OR(AND(AUTOEVENTO="Manual",$M31=1),$M31&gt;(ROW(PLE.lastrow)-ROW(PLE.firstrow))),0,IF(OFFSET(PLE!$G$14,$M31,BC$13)="",10^12,OFFSET(PLE!$G$14,$M31,BC$13))))</f>
        <v>1000000000000</v>
      </c>
      <c r="BD31" s="182">
        <f ca="1">IF($D31&lt;&gt;"Serviço",0,IF(OR(AND(AUTOEVENTO="Manual",$M31=1),$M31&gt;(ROW(PLE.lastrow)-ROW(PLE.firstrow))),0,IF(OFFSET(PLE!$G$14,$M31,BD$13)="",10^12,OFFSET(PLE!$G$14,$M31,BD$13))))</f>
        <v>1000000000000</v>
      </c>
      <c r="BE31" s="182">
        <f ca="1">IF($D31&lt;&gt;"Serviço",0,IF(OR(AND(AUTOEVENTO="Manual",$M31=1),$M31&gt;(ROW(PLE.lastrow)-ROW(PLE.firstrow))),0,IF(OFFSET(PLE!$G$14,$M31,BE$13)="",10^12,OFFSET(PLE!$G$14,$M31,BE$13))))</f>
        <v>1000000000000</v>
      </c>
      <c r="BF31" s="182">
        <f ca="1">IF($D31&lt;&gt;"Serviço",0,IF(OR(AND(AUTOEVENTO="Manual",$M31=1),$M31&gt;(ROW(PLE.lastrow)-ROW(PLE.firstrow))),0,IF(OFFSET(PLE!$G$14,$M31,BF$13)="",10^12,OFFSET(PLE!$G$14,$M31,BF$13))))</f>
        <v>1000000000000</v>
      </c>
      <c r="BG31" s="18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25.5" x14ac:dyDescent="0.2">
      <c r="A32" s="7" t="str">
        <f t="shared" ca="1" si="8"/>
        <v>13</v>
      </c>
      <c r="B32" s="7" t="str">
        <f ca="1">OFFSET(ORÇAMENTO!C$15,ROW(B32)-ROW(B$15),0)</f>
        <v>S</v>
      </c>
      <c r="C32" s="7" t="str">
        <f ca="1">OFFSET(ORÇAMENTO!L$15,ROW(C32)-ROW(C$15),0)</f>
        <v>F</v>
      </c>
      <c r="D32" s="118" t="str">
        <f ca="1">OFFSET(ORÇAMENTO!N$15,ROW(D32)-ROW(D$15),0)</f>
        <v>Serviço</v>
      </c>
      <c r="E32" s="119" t="str">
        <f ca="1">OFFSET(ORÇAMENTO!O$15,ROW(E32)-ROW(E$15),0)</f>
        <v>2.1.4.</v>
      </c>
      <c r="F32" s="172" t="str">
        <f ca="1">OFFSET(ORÇAMENTO!R$15,ROW(F32)-ROW(F$15),0)</f>
        <v>REATERRO MANUAL DE VALAS, COM COMPACTADOR DE SOLOS DE PERCUSSÃO. AF_08/2023</v>
      </c>
      <c r="G32" s="173" t="str">
        <f ca="1">IF($D32&lt;&gt;"Serviço","",OFFSET(ORÇAMENTO!S$15,ROW(G32)-ROW(G$15),0))</f>
        <v>M3</v>
      </c>
      <c r="H32" s="124">
        <f ca="1">IF($D32&lt;&gt;"Serviço",0,IF(ACOMPANHAMENTO="BM",ROUND(OFFSET(ORÇAMENTO!AJ$15,ROW(H32)-ROW(H$15),0),15-13*ORÇAMENTO!$AF$7),SUMPRODUCT(($Q$12:$AA$12&lt;&gt;"")*ROUND($Q32:$AA32,15-13*ORÇAMENTO!$AF$7))))</f>
        <v>18.54</v>
      </c>
      <c r="I32" s="561"/>
      <c r="K32" s="174"/>
      <c r="L32" s="175" t="s">
        <v>255</v>
      </c>
      <c r="M32" s="176">
        <f ca="1">IF($D32&lt;&gt;"Serviço","",IF(AUTOEVENTO="manual",$A32,IF(ISERROR(MATCH($A32,$A$15:OFFSET($A32,-1,0),0)),MAX($M$15:OFFSET(M32,-1,0))+1,INDEX($M$15:OFFSET(M32,-1,0),MATCH($A32,$A$15:OFFSET($A32,-1,0),0)))))</f>
        <v>4</v>
      </c>
      <c r="N32" s="177" t="str">
        <f ca="1">IF($D32&lt;&gt;"Serviço","",IF(AUTOEVENTO="Manual",IF($A32=0,"&lt;-- defina o número do agrupador",OFFSET(EVENTOS!$D$14,$A32,0)),OFFSET($F$15,$A32,0)))</f>
        <v>SAPATA ISOLADA</v>
      </c>
      <c r="O32" s="178"/>
      <c r="Q32" s="178"/>
      <c r="R32" s="179"/>
      <c r="S32" s="179"/>
      <c r="T32" s="179"/>
      <c r="U32" s="179"/>
      <c r="V32" s="179"/>
      <c r="W32" s="179"/>
      <c r="X32" s="179"/>
      <c r="Y32" s="179"/>
      <c r="Z32" s="180"/>
      <c r="AB32" s="544">
        <f ca="1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545">
        <f ca="1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0</v>
      </c>
      <c r="AD32" s="545">
        <f ca="1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545">
        <f ca="1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545">
        <f ca="1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545">
        <f ca="1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545">
        <f ca="1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545">
        <f ca="1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545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546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181">
        <f ca="1">IF($D32&lt;&gt;"Serviço",0,IF(AND(AUTOEVENTO="Manual",$M32=1),0,IF(OFFSET(CRONOPLE!$F$14,$M32,AM$13)="",10^12,OFFSET(CRONOPLE!$F$14,$M32,AM$13))))</f>
        <v>1000000000000</v>
      </c>
      <c r="AN32" s="181">
        <f ca="1">IF($D32&lt;&gt;"Serviço",0,IF(AND(AUTOEVENTO="Manual",$M32=1),0,IF(OFFSET(CRONOPLE!$F$14,$M32,AN$13)="",10^12,OFFSET(CRONOPLE!$F$14,$M32,AN$13))))</f>
        <v>1000000000000</v>
      </c>
      <c r="AO32" s="181">
        <f ca="1">IF($D32&lt;&gt;"Serviço",0,IF(AND(AUTOEVENTO="Manual",$M32=1),0,IF(OFFSET(CRONOPLE!$F$14,$M32,AO$13)="",10^12,OFFSET(CRONOPLE!$F$14,$M32,AO$13))))</f>
        <v>1000000000000</v>
      </c>
      <c r="AP32" s="181">
        <f ca="1">IF($D32&lt;&gt;"Serviço",0,IF(AND(AUTOEVENTO="Manual",$M32=1),0,IF(OFFSET(CRONOPLE!$F$14,$M32,AP$13)="",10^12,OFFSET(CRONOPLE!$F$14,$M32,AP$13))))</f>
        <v>1000000000000</v>
      </c>
      <c r="AQ32" s="181">
        <f ca="1">IF($D32&lt;&gt;"Serviço",0,IF(AND(AUTOEVENTO="Manual",$M32=1),0,IF(OFFSET(CRONOPLE!$F$14,$M32,AQ$13)="",10^12,OFFSET(CRONOPLE!$F$14,$M32,AQ$13))))</f>
        <v>1000000000000</v>
      </c>
      <c r="AR32" s="181">
        <f ca="1">IF($D32&lt;&gt;"Serviço",0,IF(AND(AUTOEVENTO="Manual",$M32=1),0,IF(OFFSET(CRONOPLE!$F$14,$M32,AR$13)="",10^12,OFFSET(CRONOPLE!$F$14,$M32,AR$13))))</f>
        <v>1000000000000</v>
      </c>
      <c r="AS32" s="181">
        <f ca="1">IF($D32&lt;&gt;"Serviço",0,IF(AND(AUTOEVENTO="Manual",$M32=1),0,IF(OFFSET(CRONOPLE!$F$14,$M32,AS$13)="",10^12,OFFSET(CRONOPLE!$F$14,$M32,AS$13))))</f>
        <v>1000000000000</v>
      </c>
      <c r="AT32" s="181">
        <f ca="1">IF($D32&lt;&gt;"Serviço",0,IF(AND(AUTOEVENTO="Manual",$M32=1),0,IF(OFFSET(CRONOPLE!$F$14,$M32,AT$13)="",10^12,OFFSET(CRONOPLE!$F$14,$M32,AT$13))))</f>
        <v>1000000000000</v>
      </c>
      <c r="AU32" s="181">
        <f ca="1">IF($D32&lt;&gt;"Serviço",0,IF(AND(AUTOEVENTO="Manual",$M32=1),0,IF(OFFSET(CRONOPLE!$F$14,$M32,AU$13)="",10^12,OFFSET(CRONOPLE!$F$14,$M32,AU$13))))</f>
        <v>1000000000000</v>
      </c>
      <c r="AV32" s="181">
        <f ca="1">IF($D32&lt;&gt;"Serviço",0,IF(AND(AUTOEVENTO="Manual",$M32=1),0,IF(OFFSET(CRONOPLE!$F$14,$M32,AV$13)="",10^12,OFFSET(CRONOPLE!$F$14,$M32,AV$13))))</f>
        <v>1000000000000</v>
      </c>
      <c r="AX32" s="182">
        <f ca="1">IF($D32&lt;&gt;"Serviço",0,IF(OR(AND(AUTOEVENTO="Manual",$M32=1),$M32&gt;(ROW(PLE.lastrow)-ROW(PLE.firstrow))),0,IF(OFFSET(PLE!$G$14,$M32,AX$13)="",10^12,OFFSET(PLE!$G$14,$M32,AX$13))))</f>
        <v>1000000000000</v>
      </c>
      <c r="AY32" s="182">
        <f ca="1">IF($D32&lt;&gt;"Serviço",0,IF(OR(AND(AUTOEVENTO="Manual",$M32=1),$M32&gt;(ROW(PLE.lastrow)-ROW(PLE.firstrow))),0,IF(OFFSET(PLE!$G$14,$M32,AY$13)="",10^12,OFFSET(PLE!$G$14,$M32,AY$13))))</f>
        <v>1000000000000</v>
      </c>
      <c r="AZ32" s="182">
        <f ca="1">IF($D32&lt;&gt;"Serviço",0,IF(OR(AND(AUTOEVENTO="Manual",$M32=1),$M32&gt;(ROW(PLE.lastrow)-ROW(PLE.firstrow))),0,IF(OFFSET(PLE!$G$14,$M32,AZ$13)="",10^12,OFFSET(PLE!$G$14,$M32,AZ$13))))</f>
        <v>1000000000000</v>
      </c>
      <c r="BA32" s="182">
        <f ca="1">IF($D32&lt;&gt;"Serviço",0,IF(OR(AND(AUTOEVENTO="Manual",$M32=1),$M32&gt;(ROW(PLE.lastrow)-ROW(PLE.firstrow))),0,IF(OFFSET(PLE!$G$14,$M32,BA$13)="",10^12,OFFSET(PLE!$G$14,$M32,BA$13))))</f>
        <v>1000000000000</v>
      </c>
      <c r="BB32" s="182">
        <f ca="1">IF($D32&lt;&gt;"Serviço",0,IF(OR(AND(AUTOEVENTO="Manual",$M32=1),$M32&gt;(ROW(PLE.lastrow)-ROW(PLE.firstrow))),0,IF(OFFSET(PLE!$G$14,$M32,BB$13)="",10^12,OFFSET(PLE!$G$14,$M32,BB$13))))</f>
        <v>1000000000000</v>
      </c>
      <c r="BC32" s="182">
        <f ca="1">IF($D32&lt;&gt;"Serviço",0,IF(OR(AND(AUTOEVENTO="Manual",$M32=1),$M32&gt;(ROW(PLE.lastrow)-ROW(PLE.firstrow))),0,IF(OFFSET(PLE!$G$14,$M32,BC$13)="",10^12,OFFSET(PLE!$G$14,$M32,BC$13))))</f>
        <v>1000000000000</v>
      </c>
      <c r="BD32" s="182">
        <f ca="1">IF($D32&lt;&gt;"Serviço",0,IF(OR(AND(AUTOEVENTO="Manual",$M32=1),$M32&gt;(ROW(PLE.lastrow)-ROW(PLE.firstrow))),0,IF(OFFSET(PLE!$G$14,$M32,BD$13)="",10^12,OFFSET(PLE!$G$14,$M32,BD$13))))</f>
        <v>1000000000000</v>
      </c>
      <c r="BE32" s="182">
        <f ca="1">IF($D32&lt;&gt;"Serviço",0,IF(OR(AND(AUTOEVENTO="Manual",$M32=1),$M32&gt;(ROW(PLE.lastrow)-ROW(PLE.firstrow))),0,IF(OFFSET(PLE!$G$14,$M32,BE$13)="",10^12,OFFSET(PLE!$G$14,$M32,BE$13))))</f>
        <v>1000000000000</v>
      </c>
      <c r="BF32" s="182">
        <f ca="1">IF($D32&lt;&gt;"Serviço",0,IF(OR(AND(AUTOEVENTO="Manual",$M32=1),$M32&gt;(ROW(PLE.lastrow)-ROW(PLE.firstrow))),0,IF(OFFSET(PLE!$G$14,$M32,BF$13)="",10^12,OFFSET(PLE!$G$14,$M32,BF$13))))</f>
        <v>1000000000000</v>
      </c>
      <c r="BG32" s="18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12.75" x14ac:dyDescent="0.2">
      <c r="A33" s="7" t="str">
        <f t="shared" ca="1" si="8"/>
        <v>18.</v>
      </c>
      <c r="B33" s="7">
        <f ca="1">OFFSET(ORÇAMENTO!C$15,ROW(B33)-ROW(B$15),0)</f>
        <v>2</v>
      </c>
      <c r="C33" s="7" t="str">
        <f ca="1">OFFSET(ORÇAMENTO!L$15,ROW(C33)-ROW(C$15),0)</f>
        <v>F</v>
      </c>
      <c r="D33" s="118" t="str">
        <f ca="1">OFFSET(ORÇAMENTO!N$15,ROW(D33)-ROW(D$15),0)</f>
        <v>Nível 2</v>
      </c>
      <c r="E33" s="119" t="str">
        <f ca="1">OFFSET(ORÇAMENTO!O$15,ROW(E33)-ROW(E$15),0)</f>
        <v>2.2.</v>
      </c>
      <c r="F33" s="172" t="str">
        <f ca="1">OFFSET(ORÇAMENTO!R$15,ROW(F33)-ROW(F$15),0)</f>
        <v>VIGA BALDRAME</v>
      </c>
      <c r="G33" s="173" t="str">
        <f ca="1">IF($D33&lt;&gt;"Serviço","",OFFSET(ORÇAMENTO!S$15,ROW(G33)-ROW(G$15),0))</f>
        <v/>
      </c>
      <c r="H33" s="124">
        <f ca="1">IF($D33&lt;&gt;"Serviço",0,IF(ACOMPANHAMENTO="BM",ROUND(OFFSET(ORÇAMENTO!AJ$15,ROW(H33)-ROW(H$15),0),15-13*ORÇAMENTO!$AF$7),SUMPRODUCT(($Q$12:$AA$12&lt;&gt;"")*ROUND($Q33:$AA33,15-13*ORÇAMENTO!$AF$7))))</f>
        <v>0</v>
      </c>
      <c r="I33" s="561"/>
      <c r="K33" s="174"/>
      <c r="L33" s="175" t="s">
        <v>255</v>
      </c>
      <c r="M33" s="176" t="str">
        <f ca="1">IF($D33&lt;&gt;"Serviço","",IF(AUTOEVENTO="manual",$A33,IF(ISERROR(MATCH($A33,$A$15:OFFSET($A33,-1,0),0)),MAX($M$15:OFFSET(M33,-1,0))+1,INDEX($M$15:OFFSET(M33,-1,0),MATCH($A33,$A$15:OFFSET($A33,-1,0),0)))))</f>
        <v/>
      </c>
      <c r="N33" s="177" t="str">
        <f ca="1">IF($D33&lt;&gt;"Serviço","",IF(AUTOEVENTO="Manual",IF($A33=0,"&lt;-- defina o número do agrupador",OFFSET(EVENTOS!$D$14,$A33,0)),OFFSET($F$15,$A33,0)))</f>
        <v/>
      </c>
      <c r="O33" s="178"/>
      <c r="Q33" s="178"/>
      <c r="R33" s="179"/>
      <c r="S33" s="179"/>
      <c r="T33" s="179"/>
      <c r="U33" s="179"/>
      <c r="V33" s="179"/>
      <c r="W33" s="179"/>
      <c r="X33" s="179"/>
      <c r="Y33" s="179"/>
      <c r="Z33" s="180"/>
      <c r="AB33" s="544">
        <f ca="1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545">
        <f ca="1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0</v>
      </c>
      <c r="AD33" s="545">
        <f ca="1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545">
        <f ca="1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0</v>
      </c>
      <c r="AF33" s="545">
        <f ca="1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545">
        <f ca="1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545">
        <f ca="1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545">
        <f ca="1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545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546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181">
        <f ca="1">IF($D33&lt;&gt;"Serviço",0,IF(AND(AUTOEVENTO="Manual",$M33=1),0,IF(OFFSET(CRONOPLE!$F$14,$M33,AM$13)="",10^12,OFFSET(CRONOPLE!$F$14,$M33,AM$13))))</f>
        <v>0</v>
      </c>
      <c r="AN33" s="181">
        <f ca="1">IF($D33&lt;&gt;"Serviço",0,IF(AND(AUTOEVENTO="Manual",$M33=1),0,IF(OFFSET(CRONOPLE!$F$14,$M33,AN$13)="",10^12,OFFSET(CRONOPLE!$F$14,$M33,AN$13))))</f>
        <v>0</v>
      </c>
      <c r="AO33" s="181">
        <f ca="1">IF($D33&lt;&gt;"Serviço",0,IF(AND(AUTOEVENTO="Manual",$M33=1),0,IF(OFFSET(CRONOPLE!$F$14,$M33,AO$13)="",10^12,OFFSET(CRONOPLE!$F$14,$M33,AO$13))))</f>
        <v>0</v>
      </c>
      <c r="AP33" s="181">
        <f ca="1">IF($D33&lt;&gt;"Serviço",0,IF(AND(AUTOEVENTO="Manual",$M33=1),0,IF(OFFSET(CRONOPLE!$F$14,$M33,AP$13)="",10^12,OFFSET(CRONOPLE!$F$14,$M33,AP$13))))</f>
        <v>0</v>
      </c>
      <c r="AQ33" s="181">
        <f ca="1">IF($D33&lt;&gt;"Serviço",0,IF(AND(AUTOEVENTO="Manual",$M33=1),0,IF(OFFSET(CRONOPLE!$F$14,$M33,AQ$13)="",10^12,OFFSET(CRONOPLE!$F$14,$M33,AQ$13))))</f>
        <v>0</v>
      </c>
      <c r="AR33" s="181">
        <f ca="1">IF($D33&lt;&gt;"Serviço",0,IF(AND(AUTOEVENTO="Manual",$M33=1),0,IF(OFFSET(CRONOPLE!$F$14,$M33,AR$13)="",10^12,OFFSET(CRONOPLE!$F$14,$M33,AR$13))))</f>
        <v>0</v>
      </c>
      <c r="AS33" s="181">
        <f ca="1">IF($D33&lt;&gt;"Serviço",0,IF(AND(AUTOEVENTO="Manual",$M33=1),0,IF(OFFSET(CRONOPLE!$F$14,$M33,AS$13)="",10^12,OFFSET(CRONOPLE!$F$14,$M33,AS$13))))</f>
        <v>0</v>
      </c>
      <c r="AT33" s="181">
        <f ca="1">IF($D33&lt;&gt;"Serviço",0,IF(AND(AUTOEVENTO="Manual",$M33=1),0,IF(OFFSET(CRONOPLE!$F$14,$M33,AT$13)="",10^12,OFFSET(CRONOPLE!$F$14,$M33,AT$13))))</f>
        <v>0</v>
      </c>
      <c r="AU33" s="181">
        <f ca="1">IF($D33&lt;&gt;"Serviço",0,IF(AND(AUTOEVENTO="Manual",$M33=1),0,IF(OFFSET(CRONOPLE!$F$14,$M33,AU$13)="",10^12,OFFSET(CRONOPLE!$F$14,$M33,AU$13))))</f>
        <v>0</v>
      </c>
      <c r="AV33" s="181">
        <f ca="1">IF($D33&lt;&gt;"Serviço",0,IF(AND(AUTOEVENTO="Manual",$M33=1),0,IF(OFFSET(CRONOPLE!$F$14,$M33,AV$13)="",10^12,OFFSET(CRONOPLE!$F$14,$M33,AV$13))))</f>
        <v>0</v>
      </c>
      <c r="AX33" s="182">
        <f ca="1">IF($D33&lt;&gt;"Serviço",0,IF(OR(AND(AUTOEVENTO="Manual",$M33=1),$M33&gt;(ROW(PLE.lastrow)-ROW(PLE.firstrow))),0,IF(OFFSET(PLE!$G$14,$M33,AX$13)="",10^12,OFFSET(PLE!$G$14,$M33,AX$13))))</f>
        <v>0</v>
      </c>
      <c r="AY33" s="182">
        <f ca="1">IF($D33&lt;&gt;"Serviço",0,IF(OR(AND(AUTOEVENTO="Manual",$M33=1),$M33&gt;(ROW(PLE.lastrow)-ROW(PLE.firstrow))),0,IF(OFFSET(PLE!$G$14,$M33,AY$13)="",10^12,OFFSET(PLE!$G$14,$M33,AY$13))))</f>
        <v>0</v>
      </c>
      <c r="AZ33" s="182">
        <f ca="1">IF($D33&lt;&gt;"Serviço",0,IF(OR(AND(AUTOEVENTO="Manual",$M33=1),$M33&gt;(ROW(PLE.lastrow)-ROW(PLE.firstrow))),0,IF(OFFSET(PLE!$G$14,$M33,AZ$13)="",10^12,OFFSET(PLE!$G$14,$M33,AZ$13))))</f>
        <v>0</v>
      </c>
      <c r="BA33" s="182">
        <f ca="1">IF($D33&lt;&gt;"Serviço",0,IF(OR(AND(AUTOEVENTO="Manual",$M33=1),$M33&gt;(ROW(PLE.lastrow)-ROW(PLE.firstrow))),0,IF(OFFSET(PLE!$G$14,$M33,BA$13)="",10^12,OFFSET(PLE!$G$14,$M33,BA$13))))</f>
        <v>0</v>
      </c>
      <c r="BB33" s="182">
        <f ca="1">IF($D33&lt;&gt;"Serviço",0,IF(OR(AND(AUTOEVENTO="Manual",$M33=1),$M33&gt;(ROW(PLE.lastrow)-ROW(PLE.firstrow))),0,IF(OFFSET(PLE!$G$14,$M33,BB$13)="",10^12,OFFSET(PLE!$G$14,$M33,BB$13))))</f>
        <v>0</v>
      </c>
      <c r="BC33" s="182">
        <f ca="1">IF($D33&lt;&gt;"Serviço",0,IF(OR(AND(AUTOEVENTO="Manual",$M33=1),$M33&gt;(ROW(PLE.lastrow)-ROW(PLE.firstrow))),0,IF(OFFSET(PLE!$G$14,$M33,BC$13)="",10^12,OFFSET(PLE!$G$14,$M33,BC$13))))</f>
        <v>0</v>
      </c>
      <c r="BD33" s="182">
        <f ca="1">IF($D33&lt;&gt;"Serviço",0,IF(OR(AND(AUTOEVENTO="Manual",$M33=1),$M33&gt;(ROW(PLE.lastrow)-ROW(PLE.firstrow))),0,IF(OFFSET(PLE!$G$14,$M33,BD$13)="",10^12,OFFSET(PLE!$G$14,$M33,BD$13))))</f>
        <v>0</v>
      </c>
      <c r="BE33" s="182">
        <f ca="1">IF($D33&lt;&gt;"Serviço",0,IF(OR(AND(AUTOEVENTO="Manual",$M33=1),$M33&gt;(ROW(PLE.lastrow)-ROW(PLE.firstrow))),0,IF(OFFSET(PLE!$G$14,$M33,BE$13)="",10^12,OFFSET(PLE!$G$14,$M33,BE$13))))</f>
        <v>0</v>
      </c>
      <c r="BF33" s="182">
        <f ca="1">IF($D33&lt;&gt;"Serviço",0,IF(OR(AND(AUTOEVENTO="Manual",$M33=1),$M33&gt;(ROW(PLE.lastrow)-ROW(PLE.firstrow))),0,IF(OFFSET(PLE!$G$14,$M33,BF$13)="",10^12,OFFSET(PLE!$G$14,$M33,BF$13))))</f>
        <v>0</v>
      </c>
      <c r="BG33" s="182">
        <f ca="1">IF($D33&lt;&gt;"Serviço",0,IF(OR(AND(AUTOEVENTO="Manual",$M33=1),$M33&gt;(ROW(PLE.lastrow)-ROW(PLE.firstrow))),0,IF(OFFSET(PLE!$G$14,$M33,BG$13)="",10^12,OFFSET(PLE!$G$14,$M33,BG$13))))</f>
        <v>0</v>
      </c>
    </row>
    <row r="34" spans="1:59" ht="63.75" x14ac:dyDescent="0.2">
      <c r="A34" s="7" t="str">
        <f t="shared" ca="1" si="8"/>
        <v>18</v>
      </c>
      <c r="B34" s="7" t="str">
        <f ca="1">OFFSET(ORÇAMENTO!C$15,ROW(B34)-ROW(B$15),0)</f>
        <v>S</v>
      </c>
      <c r="C34" s="7" t="str">
        <f ca="1">OFFSET(ORÇAMENTO!L$15,ROW(C34)-ROW(C$15),0)</f>
        <v>F</v>
      </c>
      <c r="D34" s="118" t="str">
        <f ca="1">OFFSET(ORÇAMENTO!N$15,ROW(D34)-ROW(D$15),0)</f>
        <v>Serviço</v>
      </c>
      <c r="E34" s="119" t="str">
        <f ca="1">OFFSET(ORÇAMENTO!O$15,ROW(E34)-ROW(E$15),0)</f>
        <v>2.2.1.</v>
      </c>
      <c r="F34" s="172" t="str">
        <f ca="1">OFFSET(ORÇAMENTO!R$15,ROW(F34)-ROW(F$15),0)</f>
        <v>ESCAVAÇÃO MECANIZADA DE VALA COM PROF. ATÉ 1,5 M (MÉDIA MONTANTE E JUSANTE/UMA COMPOSIÇÃO POR TRECHO), RETROESCAV. (0,26 M3), LARG. MENOR QUE 0,8 M, EM SOLO DE 1A CATEGORIA, EM LOCAIS COM ALTO NÍVEL DE INTERFERÊNCIA. AF_09/2024</v>
      </c>
      <c r="G34" s="173" t="str">
        <f ca="1">IF($D34&lt;&gt;"Serviço","",OFFSET(ORÇAMENTO!S$15,ROW(G34)-ROW(G$15),0))</f>
        <v>M3</v>
      </c>
      <c r="H34" s="124">
        <f ca="1">IF($D34&lt;&gt;"Serviço",0,IF(ACOMPANHAMENTO="BM",ROUND(OFFSET(ORÇAMENTO!AJ$15,ROW(H34)-ROW(H$15),0),15-13*ORÇAMENTO!$AF$7),SUMPRODUCT(($Q$12:$AA$12&lt;&gt;"")*ROUND($Q34:$AA34,15-13*ORÇAMENTO!$AF$7))))</f>
        <v>5.5</v>
      </c>
      <c r="I34" s="561"/>
      <c r="K34" s="174"/>
      <c r="L34" s="175" t="s">
        <v>255</v>
      </c>
      <c r="M34" s="176">
        <f ca="1">IF($D34&lt;&gt;"Serviço","",IF(AUTOEVENTO="manual",$A34,IF(ISERROR(MATCH($A34,$A$15:OFFSET($A34,-1,0),0)),MAX($M$15:OFFSET(M34,-1,0))+1,INDEX($M$15:OFFSET(M34,-1,0),MATCH($A34,$A$15:OFFSET($A34,-1,0),0)))))</f>
        <v>5</v>
      </c>
      <c r="N34" s="177" t="str">
        <f ca="1">IF($D34&lt;&gt;"Serviço","",IF(AUTOEVENTO="Manual",IF($A34=0,"&lt;-- defina o número do agrupador",OFFSET(EVENTOS!$D$14,$A34,0)),OFFSET($F$15,$A34,0)))</f>
        <v>VIGA BALDRAME</v>
      </c>
      <c r="O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B34" s="544">
        <f ca="1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545">
        <f ca="1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0</v>
      </c>
      <c r="AD34" s="545">
        <f ca="1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545">
        <f ca="1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0</v>
      </c>
      <c r="AF34" s="545">
        <f ca="1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545">
        <f ca="1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545">
        <f ca="1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545">
        <f ca="1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545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546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181">
        <f ca="1">IF($D34&lt;&gt;"Serviço",0,IF(AND(AUTOEVENTO="Manual",$M34=1),0,IF(OFFSET(CRONOPLE!$F$14,$M34,AM$13)="",10^12,OFFSET(CRONOPLE!$F$14,$M34,AM$13))))</f>
        <v>1000000000000</v>
      </c>
      <c r="AN34" s="181">
        <f ca="1">IF($D34&lt;&gt;"Serviço",0,IF(AND(AUTOEVENTO="Manual",$M34=1),0,IF(OFFSET(CRONOPLE!$F$14,$M34,AN$13)="",10^12,OFFSET(CRONOPLE!$F$14,$M34,AN$13))))</f>
        <v>1000000000000</v>
      </c>
      <c r="AO34" s="181">
        <f ca="1">IF($D34&lt;&gt;"Serviço",0,IF(AND(AUTOEVENTO="Manual",$M34=1),0,IF(OFFSET(CRONOPLE!$F$14,$M34,AO$13)="",10^12,OFFSET(CRONOPLE!$F$14,$M34,AO$13))))</f>
        <v>1000000000000</v>
      </c>
      <c r="AP34" s="181">
        <f ca="1">IF($D34&lt;&gt;"Serviço",0,IF(AND(AUTOEVENTO="Manual",$M34=1),0,IF(OFFSET(CRONOPLE!$F$14,$M34,AP$13)="",10^12,OFFSET(CRONOPLE!$F$14,$M34,AP$13))))</f>
        <v>1000000000000</v>
      </c>
      <c r="AQ34" s="181">
        <f ca="1">IF($D34&lt;&gt;"Serviço",0,IF(AND(AUTOEVENTO="Manual",$M34=1),0,IF(OFFSET(CRONOPLE!$F$14,$M34,AQ$13)="",10^12,OFFSET(CRONOPLE!$F$14,$M34,AQ$13))))</f>
        <v>1000000000000</v>
      </c>
      <c r="AR34" s="181">
        <f ca="1">IF($D34&lt;&gt;"Serviço",0,IF(AND(AUTOEVENTO="Manual",$M34=1),0,IF(OFFSET(CRONOPLE!$F$14,$M34,AR$13)="",10^12,OFFSET(CRONOPLE!$F$14,$M34,AR$13))))</f>
        <v>1000000000000</v>
      </c>
      <c r="AS34" s="181">
        <f ca="1">IF($D34&lt;&gt;"Serviço",0,IF(AND(AUTOEVENTO="Manual",$M34=1),0,IF(OFFSET(CRONOPLE!$F$14,$M34,AS$13)="",10^12,OFFSET(CRONOPLE!$F$14,$M34,AS$13))))</f>
        <v>1000000000000</v>
      </c>
      <c r="AT34" s="181">
        <f ca="1">IF($D34&lt;&gt;"Serviço",0,IF(AND(AUTOEVENTO="Manual",$M34=1),0,IF(OFFSET(CRONOPLE!$F$14,$M34,AT$13)="",10^12,OFFSET(CRONOPLE!$F$14,$M34,AT$13))))</f>
        <v>1000000000000</v>
      </c>
      <c r="AU34" s="181">
        <f ca="1">IF($D34&lt;&gt;"Serviço",0,IF(AND(AUTOEVENTO="Manual",$M34=1),0,IF(OFFSET(CRONOPLE!$F$14,$M34,AU$13)="",10^12,OFFSET(CRONOPLE!$F$14,$M34,AU$13))))</f>
        <v>1000000000000</v>
      </c>
      <c r="AV34" s="181">
        <f ca="1">IF($D34&lt;&gt;"Serviço",0,IF(AND(AUTOEVENTO="Manual",$M34=1),0,IF(OFFSET(CRONOPLE!$F$14,$M34,AV$13)="",10^12,OFFSET(CRONOPLE!$F$14,$M34,AV$13))))</f>
        <v>1000000000000</v>
      </c>
      <c r="AX34" s="182">
        <f ca="1">IF($D34&lt;&gt;"Serviço",0,IF(OR(AND(AUTOEVENTO="Manual",$M34=1),$M34&gt;(ROW(PLE.lastrow)-ROW(PLE.firstrow))),0,IF(OFFSET(PLE!$G$14,$M34,AX$13)="",10^12,OFFSET(PLE!$G$14,$M34,AX$13))))</f>
        <v>1000000000000</v>
      </c>
      <c r="AY34" s="182">
        <f ca="1">IF($D34&lt;&gt;"Serviço",0,IF(OR(AND(AUTOEVENTO="Manual",$M34=1),$M34&gt;(ROW(PLE.lastrow)-ROW(PLE.firstrow))),0,IF(OFFSET(PLE!$G$14,$M34,AY$13)="",10^12,OFFSET(PLE!$G$14,$M34,AY$13))))</f>
        <v>1000000000000</v>
      </c>
      <c r="AZ34" s="182">
        <f ca="1">IF($D34&lt;&gt;"Serviço",0,IF(OR(AND(AUTOEVENTO="Manual",$M34=1),$M34&gt;(ROW(PLE.lastrow)-ROW(PLE.firstrow))),0,IF(OFFSET(PLE!$G$14,$M34,AZ$13)="",10^12,OFFSET(PLE!$G$14,$M34,AZ$13))))</f>
        <v>1000000000000</v>
      </c>
      <c r="BA34" s="182">
        <f ca="1">IF($D34&lt;&gt;"Serviço",0,IF(OR(AND(AUTOEVENTO="Manual",$M34=1),$M34&gt;(ROW(PLE.lastrow)-ROW(PLE.firstrow))),0,IF(OFFSET(PLE!$G$14,$M34,BA$13)="",10^12,OFFSET(PLE!$G$14,$M34,BA$13))))</f>
        <v>1000000000000</v>
      </c>
      <c r="BB34" s="182">
        <f ca="1">IF($D34&lt;&gt;"Serviço",0,IF(OR(AND(AUTOEVENTO="Manual",$M34=1),$M34&gt;(ROW(PLE.lastrow)-ROW(PLE.firstrow))),0,IF(OFFSET(PLE!$G$14,$M34,BB$13)="",10^12,OFFSET(PLE!$G$14,$M34,BB$13))))</f>
        <v>1000000000000</v>
      </c>
      <c r="BC34" s="182">
        <f ca="1">IF($D34&lt;&gt;"Serviço",0,IF(OR(AND(AUTOEVENTO="Manual",$M34=1),$M34&gt;(ROW(PLE.lastrow)-ROW(PLE.firstrow))),0,IF(OFFSET(PLE!$G$14,$M34,BC$13)="",10^12,OFFSET(PLE!$G$14,$M34,BC$13))))</f>
        <v>1000000000000</v>
      </c>
      <c r="BD34" s="182">
        <f ca="1">IF($D34&lt;&gt;"Serviço",0,IF(OR(AND(AUTOEVENTO="Manual",$M34=1),$M34&gt;(ROW(PLE.lastrow)-ROW(PLE.firstrow))),0,IF(OFFSET(PLE!$G$14,$M34,BD$13)="",10^12,OFFSET(PLE!$G$14,$M34,BD$13))))</f>
        <v>1000000000000</v>
      </c>
      <c r="BE34" s="182">
        <f ca="1">IF($D34&lt;&gt;"Serviço",0,IF(OR(AND(AUTOEVENTO="Manual",$M34=1),$M34&gt;(ROW(PLE.lastrow)-ROW(PLE.firstrow))),0,IF(OFFSET(PLE!$G$14,$M34,BE$13)="",10^12,OFFSET(PLE!$G$14,$M34,BE$13))))</f>
        <v>1000000000000</v>
      </c>
      <c r="BF34" s="182">
        <f ca="1">IF($D34&lt;&gt;"Serviço",0,IF(OR(AND(AUTOEVENTO="Manual",$M34=1),$M34&gt;(ROW(PLE.lastrow)-ROW(PLE.firstrow))),0,IF(OFFSET(PLE!$G$14,$M34,BF$13)="",10^12,OFFSET(PLE!$G$14,$M34,BF$13))))</f>
        <v>1000000000000</v>
      </c>
      <c r="BG34" s="18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38.25" x14ac:dyDescent="0.2">
      <c r="A35" s="7" t="str">
        <f t="shared" ca="1" si="8"/>
        <v>18</v>
      </c>
      <c r="B35" s="7" t="str">
        <f ca="1">OFFSET(ORÇAMENTO!C$15,ROW(B35)-ROW(B$15),0)</f>
        <v>S</v>
      </c>
      <c r="C35" s="7" t="str">
        <f ca="1">OFFSET(ORÇAMENTO!L$15,ROW(C35)-ROW(C$15),0)</f>
        <v>F</v>
      </c>
      <c r="D35" s="118" t="str">
        <f ca="1">OFFSET(ORÇAMENTO!N$15,ROW(D35)-ROW(D$15),0)</f>
        <v>Serviço</v>
      </c>
      <c r="E35" s="119" t="str">
        <f ca="1">OFFSET(ORÇAMENTO!O$15,ROW(E35)-ROW(E$15),0)</f>
        <v>2.2.2.</v>
      </c>
      <c r="F35" s="172" t="str">
        <f ca="1">OFFSET(ORÇAMENTO!R$15,ROW(F35)-ROW(F$15),0)</f>
        <v>CONCRETAGEM DE BLOCO DE COROAMENTO OU VIGA BALDRAME, FCK 30 MPA, COM USO DE BOMBA - LANÇAMENTO, ADENSAMENTO E ACABAMENTO. AF_01/2024</v>
      </c>
      <c r="G35" s="173" t="str">
        <f ca="1">IF($D35&lt;&gt;"Serviço","",OFFSET(ORÇAMENTO!S$15,ROW(G35)-ROW(G$15),0))</f>
        <v>M3</v>
      </c>
      <c r="H35" s="124">
        <f ca="1">IF($D35&lt;&gt;"Serviço",0,IF(ACOMPANHAMENTO="BM",ROUND(OFFSET(ORÇAMENTO!AJ$15,ROW(H35)-ROW(H$15),0),15-13*ORÇAMENTO!$AF$7),SUMPRODUCT(($Q$12:$AA$12&lt;&gt;"")*ROUND($Q35:$AA35,15-13*ORÇAMENTO!$AF$7))))</f>
        <v>5.5</v>
      </c>
      <c r="I35" s="561"/>
      <c r="K35" s="174"/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177" t="str">
        <f ca="1">IF($D35&lt;&gt;"Serviço","",IF(AUTOEVENTO="Manual",IF($A35=0,"&lt;-- defina o número do agrupador",OFFSET(EVENTOS!$D$14,$A35,0)),OFFSET($F$15,$A35,0)))</f>
        <v>VIGA BALDRAME</v>
      </c>
      <c r="O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B35" s="544">
        <f ca="1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0</v>
      </c>
      <c r="AC35" s="545">
        <f ca="1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545">
        <f ca="1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545">
        <f ca="1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545">
        <f ca="1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545">
        <f ca="1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545">
        <f ca="1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545">
        <f ca="1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545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546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181">
        <f ca="1">IF($D35&lt;&gt;"Serviço",0,IF(AND(AUTOEVENTO="Manual",$M35=1),0,IF(OFFSET(CRONOPLE!$F$14,$M35,AM$13)="",10^12,OFFSET(CRONOPLE!$F$14,$M35,AM$13))))</f>
        <v>1000000000000</v>
      </c>
      <c r="AN35" s="181">
        <f ca="1">IF($D35&lt;&gt;"Serviço",0,IF(AND(AUTOEVENTO="Manual",$M35=1),0,IF(OFFSET(CRONOPLE!$F$14,$M35,AN$13)="",10^12,OFFSET(CRONOPLE!$F$14,$M35,AN$13))))</f>
        <v>1000000000000</v>
      </c>
      <c r="AO35" s="181">
        <f ca="1">IF($D35&lt;&gt;"Serviço",0,IF(AND(AUTOEVENTO="Manual",$M35=1),0,IF(OFFSET(CRONOPLE!$F$14,$M35,AO$13)="",10^12,OFFSET(CRONOPLE!$F$14,$M35,AO$13))))</f>
        <v>1000000000000</v>
      </c>
      <c r="AP35" s="181">
        <f ca="1">IF($D35&lt;&gt;"Serviço",0,IF(AND(AUTOEVENTO="Manual",$M35=1),0,IF(OFFSET(CRONOPLE!$F$14,$M35,AP$13)="",10^12,OFFSET(CRONOPLE!$F$14,$M35,AP$13))))</f>
        <v>1000000000000</v>
      </c>
      <c r="AQ35" s="181">
        <f ca="1">IF($D35&lt;&gt;"Serviço",0,IF(AND(AUTOEVENTO="Manual",$M35=1),0,IF(OFFSET(CRONOPLE!$F$14,$M35,AQ$13)="",10^12,OFFSET(CRONOPLE!$F$14,$M35,AQ$13))))</f>
        <v>1000000000000</v>
      </c>
      <c r="AR35" s="181">
        <f ca="1">IF($D35&lt;&gt;"Serviço",0,IF(AND(AUTOEVENTO="Manual",$M35=1),0,IF(OFFSET(CRONOPLE!$F$14,$M35,AR$13)="",10^12,OFFSET(CRONOPLE!$F$14,$M35,AR$13))))</f>
        <v>1000000000000</v>
      </c>
      <c r="AS35" s="181">
        <f ca="1">IF($D35&lt;&gt;"Serviço",0,IF(AND(AUTOEVENTO="Manual",$M35=1),0,IF(OFFSET(CRONOPLE!$F$14,$M35,AS$13)="",10^12,OFFSET(CRONOPLE!$F$14,$M35,AS$13))))</f>
        <v>1000000000000</v>
      </c>
      <c r="AT35" s="181">
        <f ca="1">IF($D35&lt;&gt;"Serviço",0,IF(AND(AUTOEVENTO="Manual",$M35=1),0,IF(OFFSET(CRONOPLE!$F$14,$M35,AT$13)="",10^12,OFFSET(CRONOPLE!$F$14,$M35,AT$13))))</f>
        <v>1000000000000</v>
      </c>
      <c r="AU35" s="181">
        <f ca="1">IF($D35&lt;&gt;"Serviço",0,IF(AND(AUTOEVENTO="Manual",$M35=1),0,IF(OFFSET(CRONOPLE!$F$14,$M35,AU$13)="",10^12,OFFSET(CRONOPLE!$F$14,$M35,AU$13))))</f>
        <v>1000000000000</v>
      </c>
      <c r="AV35" s="181">
        <f ca="1">IF($D35&lt;&gt;"Serviço",0,IF(AND(AUTOEVENTO="Manual",$M35=1),0,IF(OFFSET(CRONOPLE!$F$14,$M35,AV$13)="",10^12,OFFSET(CRONOPLE!$F$14,$M35,AV$13))))</f>
        <v>1000000000000</v>
      </c>
      <c r="AX35" s="182">
        <f ca="1">IF($D35&lt;&gt;"Serviço",0,IF(OR(AND(AUTOEVENTO="Manual",$M35=1),$M35&gt;(ROW(PLE.lastrow)-ROW(PLE.firstrow))),0,IF(OFFSET(PLE!$G$14,$M35,AX$13)="",10^12,OFFSET(PLE!$G$14,$M35,AX$13))))</f>
        <v>1000000000000</v>
      </c>
      <c r="AY35" s="182">
        <f ca="1">IF($D35&lt;&gt;"Serviço",0,IF(OR(AND(AUTOEVENTO="Manual",$M35=1),$M35&gt;(ROW(PLE.lastrow)-ROW(PLE.firstrow))),0,IF(OFFSET(PLE!$G$14,$M35,AY$13)="",10^12,OFFSET(PLE!$G$14,$M35,AY$13))))</f>
        <v>1000000000000</v>
      </c>
      <c r="AZ35" s="182">
        <f ca="1">IF($D35&lt;&gt;"Serviço",0,IF(OR(AND(AUTOEVENTO="Manual",$M35=1),$M35&gt;(ROW(PLE.lastrow)-ROW(PLE.firstrow))),0,IF(OFFSET(PLE!$G$14,$M35,AZ$13)="",10^12,OFFSET(PLE!$G$14,$M35,AZ$13))))</f>
        <v>1000000000000</v>
      </c>
      <c r="BA35" s="182">
        <f ca="1">IF($D35&lt;&gt;"Serviço",0,IF(OR(AND(AUTOEVENTO="Manual",$M35=1),$M35&gt;(ROW(PLE.lastrow)-ROW(PLE.firstrow))),0,IF(OFFSET(PLE!$G$14,$M35,BA$13)="",10^12,OFFSET(PLE!$G$14,$M35,BA$13))))</f>
        <v>1000000000000</v>
      </c>
      <c r="BB35" s="182">
        <f ca="1">IF($D35&lt;&gt;"Serviço",0,IF(OR(AND(AUTOEVENTO="Manual",$M35=1),$M35&gt;(ROW(PLE.lastrow)-ROW(PLE.firstrow))),0,IF(OFFSET(PLE!$G$14,$M35,BB$13)="",10^12,OFFSET(PLE!$G$14,$M35,BB$13))))</f>
        <v>1000000000000</v>
      </c>
      <c r="BC35" s="182">
        <f ca="1">IF($D35&lt;&gt;"Serviço",0,IF(OR(AND(AUTOEVENTO="Manual",$M35=1),$M35&gt;(ROW(PLE.lastrow)-ROW(PLE.firstrow))),0,IF(OFFSET(PLE!$G$14,$M35,BC$13)="",10^12,OFFSET(PLE!$G$14,$M35,BC$13))))</f>
        <v>1000000000000</v>
      </c>
      <c r="BD35" s="182">
        <f ca="1">IF($D35&lt;&gt;"Serviço",0,IF(OR(AND(AUTOEVENTO="Manual",$M35=1),$M35&gt;(ROW(PLE.lastrow)-ROW(PLE.firstrow))),0,IF(OFFSET(PLE!$G$14,$M35,BD$13)="",10^12,OFFSET(PLE!$G$14,$M35,BD$13))))</f>
        <v>1000000000000</v>
      </c>
      <c r="BE35" s="182">
        <f ca="1">IF($D35&lt;&gt;"Serviço",0,IF(OR(AND(AUTOEVENTO="Manual",$M35=1),$M35&gt;(ROW(PLE.lastrow)-ROW(PLE.firstrow))),0,IF(OFFSET(PLE!$G$14,$M35,BE$13)="",10^12,OFFSET(PLE!$G$14,$M35,BE$13))))</f>
        <v>1000000000000</v>
      </c>
      <c r="BF35" s="182">
        <f ca="1">IF($D35&lt;&gt;"Serviço",0,IF(OR(AND(AUTOEVENTO="Manual",$M35=1),$M35&gt;(ROW(PLE.lastrow)-ROW(PLE.firstrow))),0,IF(OFFSET(PLE!$G$14,$M35,BF$13)="",10^12,OFFSET(PLE!$G$14,$M35,BF$13))))</f>
        <v>1000000000000</v>
      </c>
      <c r="BG35" s="18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25.5" x14ac:dyDescent="0.2">
      <c r="A36" s="7" t="str">
        <f t="shared" ca="1" si="8"/>
        <v>18</v>
      </c>
      <c r="B36" s="7" t="str">
        <f ca="1">OFFSET(ORÇAMENTO!C$15,ROW(B36)-ROW(B$15),0)</f>
        <v>S</v>
      </c>
      <c r="C36" s="7" t="str">
        <f ca="1">OFFSET(ORÇAMENTO!L$15,ROW(C36)-ROW(C$15),0)</f>
        <v>F</v>
      </c>
      <c r="D36" s="118" t="str">
        <f ca="1">OFFSET(ORÇAMENTO!N$15,ROW(D36)-ROW(D$15),0)</f>
        <v>Serviço</v>
      </c>
      <c r="E36" s="119" t="str">
        <f ca="1">OFFSET(ORÇAMENTO!O$15,ROW(E36)-ROW(E$15),0)</f>
        <v>2.2.3.</v>
      </c>
      <c r="F36" s="172" t="str">
        <f ca="1">OFFSET(ORÇAMENTO!R$15,ROW(F36)-ROW(F$15),0)</f>
        <v>ARMAÇÃO DE BLOCO UTILIZANDO AÇO CA-50 DE 10 MM - MONTAGEM. AF_01/2024</v>
      </c>
      <c r="G36" s="173" t="str">
        <f ca="1">IF($D36&lt;&gt;"Serviço","",OFFSET(ORÇAMENTO!S$15,ROW(G36)-ROW(G$15),0))</f>
        <v>KG</v>
      </c>
      <c r="H36" s="124">
        <f ca="1">IF($D36&lt;&gt;"Serviço",0,IF(ACOMPANHAMENTO="BM",ROUND(OFFSET(ORÇAMENTO!AJ$15,ROW(H36)-ROW(H$15),0),15-13*ORÇAMENTO!$AF$7),SUMPRODUCT(($Q$12:$AA$12&lt;&gt;"")*ROUND($Q36:$AA36,15-13*ORÇAMENTO!$AF$7))))</f>
        <v>301.7</v>
      </c>
      <c r="I36" s="561"/>
      <c r="K36" s="174"/>
      <c r="L36" s="175" t="s">
        <v>255</v>
      </c>
      <c r="M36" s="17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177" t="str">
        <f ca="1">IF($D36&lt;&gt;"Serviço","",IF(AUTOEVENTO="Manual",IF($A36=0,"&lt;-- defina o número do agrupador",OFFSET(EVENTOS!$D$14,$A36,0)),OFFSET($F$15,$A36,0)))</f>
        <v>VIGA BALDRAME</v>
      </c>
      <c r="O36" s="178"/>
      <c r="Q36" s="178"/>
      <c r="R36" s="179"/>
      <c r="S36" s="179"/>
      <c r="T36" s="179"/>
      <c r="U36" s="179"/>
      <c r="V36" s="179"/>
      <c r="W36" s="179"/>
      <c r="X36" s="179"/>
      <c r="Y36" s="179"/>
      <c r="Z36" s="180"/>
      <c r="AB36" s="544">
        <f ca="1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545">
        <f ca="1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545">
        <f ca="1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545">
        <f ca="1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545">
        <f ca="1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545">
        <f ca="1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545">
        <f ca="1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545">
        <f ca="1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545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546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181">
        <f ca="1">IF($D36&lt;&gt;"Serviço",0,IF(AND(AUTOEVENTO="Manual",$M36=1),0,IF(OFFSET(CRONOPLE!$F$14,$M36,AM$13)="",10^12,OFFSET(CRONOPLE!$F$14,$M36,AM$13))))</f>
        <v>1000000000000</v>
      </c>
      <c r="AN36" s="181">
        <f ca="1">IF($D36&lt;&gt;"Serviço",0,IF(AND(AUTOEVENTO="Manual",$M36=1),0,IF(OFFSET(CRONOPLE!$F$14,$M36,AN$13)="",10^12,OFFSET(CRONOPLE!$F$14,$M36,AN$13))))</f>
        <v>1000000000000</v>
      </c>
      <c r="AO36" s="181">
        <f ca="1">IF($D36&lt;&gt;"Serviço",0,IF(AND(AUTOEVENTO="Manual",$M36=1),0,IF(OFFSET(CRONOPLE!$F$14,$M36,AO$13)="",10^12,OFFSET(CRONOPLE!$F$14,$M36,AO$13))))</f>
        <v>1000000000000</v>
      </c>
      <c r="AP36" s="181">
        <f ca="1">IF($D36&lt;&gt;"Serviço",0,IF(AND(AUTOEVENTO="Manual",$M36=1),0,IF(OFFSET(CRONOPLE!$F$14,$M36,AP$13)="",10^12,OFFSET(CRONOPLE!$F$14,$M36,AP$13))))</f>
        <v>1000000000000</v>
      </c>
      <c r="AQ36" s="181">
        <f ca="1">IF($D36&lt;&gt;"Serviço",0,IF(AND(AUTOEVENTO="Manual",$M36=1),0,IF(OFFSET(CRONOPLE!$F$14,$M36,AQ$13)="",10^12,OFFSET(CRONOPLE!$F$14,$M36,AQ$13))))</f>
        <v>1000000000000</v>
      </c>
      <c r="AR36" s="181">
        <f ca="1">IF($D36&lt;&gt;"Serviço",0,IF(AND(AUTOEVENTO="Manual",$M36=1),0,IF(OFFSET(CRONOPLE!$F$14,$M36,AR$13)="",10^12,OFFSET(CRONOPLE!$F$14,$M36,AR$13))))</f>
        <v>1000000000000</v>
      </c>
      <c r="AS36" s="181">
        <f ca="1">IF($D36&lt;&gt;"Serviço",0,IF(AND(AUTOEVENTO="Manual",$M36=1),0,IF(OFFSET(CRONOPLE!$F$14,$M36,AS$13)="",10^12,OFFSET(CRONOPLE!$F$14,$M36,AS$13))))</f>
        <v>1000000000000</v>
      </c>
      <c r="AT36" s="181">
        <f ca="1">IF($D36&lt;&gt;"Serviço",0,IF(AND(AUTOEVENTO="Manual",$M36=1),0,IF(OFFSET(CRONOPLE!$F$14,$M36,AT$13)="",10^12,OFFSET(CRONOPLE!$F$14,$M36,AT$13))))</f>
        <v>1000000000000</v>
      </c>
      <c r="AU36" s="181">
        <f ca="1">IF($D36&lt;&gt;"Serviço",0,IF(AND(AUTOEVENTO="Manual",$M36=1),0,IF(OFFSET(CRONOPLE!$F$14,$M36,AU$13)="",10^12,OFFSET(CRONOPLE!$F$14,$M36,AU$13))))</f>
        <v>1000000000000</v>
      </c>
      <c r="AV36" s="181">
        <f ca="1">IF($D36&lt;&gt;"Serviço",0,IF(AND(AUTOEVENTO="Manual",$M36=1),0,IF(OFFSET(CRONOPLE!$F$14,$M36,AV$13)="",10^12,OFFSET(CRONOPLE!$F$14,$M36,AV$13))))</f>
        <v>1000000000000</v>
      </c>
      <c r="AX36" s="182">
        <f ca="1">IF($D36&lt;&gt;"Serviço",0,IF(OR(AND(AUTOEVENTO="Manual",$M36=1),$M36&gt;(ROW(PLE.lastrow)-ROW(PLE.firstrow))),0,IF(OFFSET(PLE!$G$14,$M36,AX$13)="",10^12,OFFSET(PLE!$G$14,$M36,AX$13))))</f>
        <v>1000000000000</v>
      </c>
      <c r="AY36" s="182">
        <f ca="1">IF($D36&lt;&gt;"Serviço",0,IF(OR(AND(AUTOEVENTO="Manual",$M36=1),$M36&gt;(ROW(PLE.lastrow)-ROW(PLE.firstrow))),0,IF(OFFSET(PLE!$G$14,$M36,AY$13)="",10^12,OFFSET(PLE!$G$14,$M36,AY$13))))</f>
        <v>1000000000000</v>
      </c>
      <c r="AZ36" s="182">
        <f ca="1">IF($D36&lt;&gt;"Serviço",0,IF(OR(AND(AUTOEVENTO="Manual",$M36=1),$M36&gt;(ROW(PLE.lastrow)-ROW(PLE.firstrow))),0,IF(OFFSET(PLE!$G$14,$M36,AZ$13)="",10^12,OFFSET(PLE!$G$14,$M36,AZ$13))))</f>
        <v>1000000000000</v>
      </c>
      <c r="BA36" s="182">
        <f ca="1">IF($D36&lt;&gt;"Serviço",0,IF(OR(AND(AUTOEVENTO="Manual",$M36=1),$M36&gt;(ROW(PLE.lastrow)-ROW(PLE.firstrow))),0,IF(OFFSET(PLE!$G$14,$M36,BA$13)="",10^12,OFFSET(PLE!$G$14,$M36,BA$13))))</f>
        <v>1000000000000</v>
      </c>
      <c r="BB36" s="182">
        <f ca="1">IF($D36&lt;&gt;"Serviço",0,IF(OR(AND(AUTOEVENTO="Manual",$M36=1),$M36&gt;(ROW(PLE.lastrow)-ROW(PLE.firstrow))),0,IF(OFFSET(PLE!$G$14,$M36,BB$13)="",10^12,OFFSET(PLE!$G$14,$M36,BB$13))))</f>
        <v>1000000000000</v>
      </c>
      <c r="BC36" s="182">
        <f ca="1">IF($D36&lt;&gt;"Serviço",0,IF(OR(AND(AUTOEVENTO="Manual",$M36=1),$M36&gt;(ROW(PLE.lastrow)-ROW(PLE.firstrow))),0,IF(OFFSET(PLE!$G$14,$M36,BC$13)="",10^12,OFFSET(PLE!$G$14,$M36,BC$13))))</f>
        <v>1000000000000</v>
      </c>
      <c r="BD36" s="182">
        <f ca="1">IF($D36&lt;&gt;"Serviço",0,IF(OR(AND(AUTOEVENTO="Manual",$M36=1),$M36&gt;(ROW(PLE.lastrow)-ROW(PLE.firstrow))),0,IF(OFFSET(PLE!$G$14,$M36,BD$13)="",10^12,OFFSET(PLE!$G$14,$M36,BD$13))))</f>
        <v>1000000000000</v>
      </c>
      <c r="BE36" s="182">
        <f ca="1">IF($D36&lt;&gt;"Serviço",0,IF(OR(AND(AUTOEVENTO="Manual",$M36=1),$M36&gt;(ROW(PLE.lastrow)-ROW(PLE.firstrow))),0,IF(OFFSET(PLE!$G$14,$M36,BE$13)="",10^12,OFFSET(PLE!$G$14,$M36,BE$13))))</f>
        <v>1000000000000</v>
      </c>
      <c r="BF36" s="182">
        <f ca="1">IF($D36&lt;&gt;"Serviço",0,IF(OR(AND(AUTOEVENTO="Manual",$M36=1),$M36&gt;(ROW(PLE.lastrow)-ROW(PLE.firstrow))),0,IF(OFFSET(PLE!$G$14,$M36,BF$13)="",10^12,OFFSET(PLE!$G$14,$M36,BF$13))))</f>
        <v>1000000000000</v>
      </c>
      <c r="BG36" s="18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25.5" x14ac:dyDescent="0.2">
      <c r="A37" s="7" t="str">
        <f t="shared" ca="1" si="8"/>
        <v>18</v>
      </c>
      <c r="B37" s="7" t="str">
        <f ca="1">OFFSET(ORÇAMENTO!C$15,ROW(B37)-ROW(B$15),0)</f>
        <v>S</v>
      </c>
      <c r="C37" s="7" t="str">
        <f ca="1">OFFSET(ORÇAMENTO!L$15,ROW(C37)-ROW(C$15),0)</f>
        <v>F</v>
      </c>
      <c r="D37" s="118" t="str">
        <f ca="1">OFFSET(ORÇAMENTO!N$15,ROW(D37)-ROW(D$15),0)</f>
        <v>Serviço</v>
      </c>
      <c r="E37" s="119" t="str">
        <f ca="1">OFFSET(ORÇAMENTO!O$15,ROW(E37)-ROW(E$15),0)</f>
        <v>2.2.4.</v>
      </c>
      <c r="F37" s="172" t="str">
        <f ca="1">OFFSET(ORÇAMENTO!R$15,ROW(F37)-ROW(F$15),0)</f>
        <v>ARMAÇÃO DE BLOCO UTILIZANDO AÇO CA-60 DE 5 MM - MONTAGEM. AF_01/2024</v>
      </c>
      <c r="G37" s="173" t="str">
        <f ca="1">IF($D37&lt;&gt;"Serviço","",OFFSET(ORÇAMENTO!S$15,ROW(G37)-ROW(G$15),0))</f>
        <v>KG</v>
      </c>
      <c r="H37" s="124">
        <f ca="1">IF($D37&lt;&gt;"Serviço",0,IF(ACOMPANHAMENTO="BM",ROUND(OFFSET(ORÇAMENTO!AJ$15,ROW(H37)-ROW(H$15),0),15-13*ORÇAMENTO!$AF$7),SUMPRODUCT(($Q$12:$AA$12&lt;&gt;"")*ROUND($Q37:$AA37,15-13*ORÇAMENTO!$AF$7))))</f>
        <v>141.37</v>
      </c>
      <c r="I37" s="561"/>
      <c r="K37" s="174"/>
      <c r="L37" s="175" t="s">
        <v>255</v>
      </c>
      <c r="M37" s="176">
        <f ca="1">IF($D37&lt;&gt;"Serviço","",IF(AUTOEVENTO="manual",$A37,IF(ISERROR(MATCH($A37,$A$15:OFFSET($A37,-1,0),0)),MAX($M$15:OFFSET(M37,-1,0))+1,INDEX($M$15:OFFSET(M37,-1,0),MATCH($A37,$A$15:OFFSET($A37,-1,0),0)))))</f>
        <v>5</v>
      </c>
      <c r="N37" s="177" t="str">
        <f ca="1">IF($D37&lt;&gt;"Serviço","",IF(AUTOEVENTO="Manual",IF($A37=0,"&lt;-- defina o número do agrupador",OFFSET(EVENTOS!$D$14,$A37,0)),OFFSET($F$15,$A37,0)))</f>
        <v>VIGA BALDRAME</v>
      </c>
      <c r="O37" s="178"/>
      <c r="Q37" s="178"/>
      <c r="R37" s="179"/>
      <c r="S37" s="179"/>
      <c r="T37" s="179"/>
      <c r="U37" s="179"/>
      <c r="V37" s="179"/>
      <c r="W37" s="179"/>
      <c r="X37" s="179"/>
      <c r="Y37" s="179"/>
      <c r="Z37" s="180"/>
      <c r="AB37" s="544">
        <f ca="1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545">
        <f ca="1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545">
        <f ca="1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545">
        <f ca="1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545">
        <f ca="1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545">
        <f ca="1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545">
        <f ca="1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545">
        <f ca="1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545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546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181">
        <f ca="1">IF($D37&lt;&gt;"Serviço",0,IF(AND(AUTOEVENTO="Manual",$M37=1),0,IF(OFFSET(CRONOPLE!$F$14,$M37,AM$13)="",10^12,OFFSET(CRONOPLE!$F$14,$M37,AM$13))))</f>
        <v>1000000000000</v>
      </c>
      <c r="AN37" s="181">
        <f ca="1">IF($D37&lt;&gt;"Serviço",0,IF(AND(AUTOEVENTO="Manual",$M37=1),0,IF(OFFSET(CRONOPLE!$F$14,$M37,AN$13)="",10^12,OFFSET(CRONOPLE!$F$14,$M37,AN$13))))</f>
        <v>1000000000000</v>
      </c>
      <c r="AO37" s="181">
        <f ca="1">IF($D37&lt;&gt;"Serviço",0,IF(AND(AUTOEVENTO="Manual",$M37=1),0,IF(OFFSET(CRONOPLE!$F$14,$M37,AO$13)="",10^12,OFFSET(CRONOPLE!$F$14,$M37,AO$13))))</f>
        <v>1000000000000</v>
      </c>
      <c r="AP37" s="181">
        <f ca="1">IF($D37&lt;&gt;"Serviço",0,IF(AND(AUTOEVENTO="Manual",$M37=1),0,IF(OFFSET(CRONOPLE!$F$14,$M37,AP$13)="",10^12,OFFSET(CRONOPLE!$F$14,$M37,AP$13))))</f>
        <v>1000000000000</v>
      </c>
      <c r="AQ37" s="181">
        <f ca="1">IF($D37&lt;&gt;"Serviço",0,IF(AND(AUTOEVENTO="Manual",$M37=1),0,IF(OFFSET(CRONOPLE!$F$14,$M37,AQ$13)="",10^12,OFFSET(CRONOPLE!$F$14,$M37,AQ$13))))</f>
        <v>1000000000000</v>
      </c>
      <c r="AR37" s="181">
        <f ca="1">IF($D37&lt;&gt;"Serviço",0,IF(AND(AUTOEVENTO="Manual",$M37=1),0,IF(OFFSET(CRONOPLE!$F$14,$M37,AR$13)="",10^12,OFFSET(CRONOPLE!$F$14,$M37,AR$13))))</f>
        <v>1000000000000</v>
      </c>
      <c r="AS37" s="181">
        <f ca="1">IF($D37&lt;&gt;"Serviço",0,IF(AND(AUTOEVENTO="Manual",$M37=1),0,IF(OFFSET(CRONOPLE!$F$14,$M37,AS$13)="",10^12,OFFSET(CRONOPLE!$F$14,$M37,AS$13))))</f>
        <v>1000000000000</v>
      </c>
      <c r="AT37" s="181">
        <f ca="1">IF($D37&lt;&gt;"Serviço",0,IF(AND(AUTOEVENTO="Manual",$M37=1),0,IF(OFFSET(CRONOPLE!$F$14,$M37,AT$13)="",10^12,OFFSET(CRONOPLE!$F$14,$M37,AT$13))))</f>
        <v>1000000000000</v>
      </c>
      <c r="AU37" s="181">
        <f ca="1">IF($D37&lt;&gt;"Serviço",0,IF(AND(AUTOEVENTO="Manual",$M37=1),0,IF(OFFSET(CRONOPLE!$F$14,$M37,AU$13)="",10^12,OFFSET(CRONOPLE!$F$14,$M37,AU$13))))</f>
        <v>1000000000000</v>
      </c>
      <c r="AV37" s="181">
        <f ca="1">IF($D37&lt;&gt;"Serviço",0,IF(AND(AUTOEVENTO="Manual",$M37=1),0,IF(OFFSET(CRONOPLE!$F$14,$M37,AV$13)="",10^12,OFFSET(CRONOPLE!$F$14,$M37,AV$13))))</f>
        <v>1000000000000</v>
      </c>
      <c r="AX37" s="182">
        <f ca="1">IF($D37&lt;&gt;"Serviço",0,IF(OR(AND(AUTOEVENTO="Manual",$M37=1),$M37&gt;(ROW(PLE.lastrow)-ROW(PLE.firstrow))),0,IF(OFFSET(PLE!$G$14,$M37,AX$13)="",10^12,OFFSET(PLE!$G$14,$M37,AX$13))))</f>
        <v>1000000000000</v>
      </c>
      <c r="AY37" s="182">
        <f ca="1">IF($D37&lt;&gt;"Serviço",0,IF(OR(AND(AUTOEVENTO="Manual",$M37=1),$M37&gt;(ROW(PLE.lastrow)-ROW(PLE.firstrow))),0,IF(OFFSET(PLE!$G$14,$M37,AY$13)="",10^12,OFFSET(PLE!$G$14,$M37,AY$13))))</f>
        <v>1000000000000</v>
      </c>
      <c r="AZ37" s="182">
        <f ca="1">IF($D37&lt;&gt;"Serviço",0,IF(OR(AND(AUTOEVENTO="Manual",$M37=1),$M37&gt;(ROW(PLE.lastrow)-ROW(PLE.firstrow))),0,IF(OFFSET(PLE!$G$14,$M37,AZ$13)="",10^12,OFFSET(PLE!$G$14,$M37,AZ$13))))</f>
        <v>1000000000000</v>
      </c>
      <c r="BA37" s="182">
        <f ca="1">IF($D37&lt;&gt;"Serviço",0,IF(OR(AND(AUTOEVENTO="Manual",$M37=1),$M37&gt;(ROW(PLE.lastrow)-ROW(PLE.firstrow))),0,IF(OFFSET(PLE!$G$14,$M37,BA$13)="",10^12,OFFSET(PLE!$G$14,$M37,BA$13))))</f>
        <v>1000000000000</v>
      </c>
      <c r="BB37" s="182">
        <f ca="1">IF($D37&lt;&gt;"Serviço",0,IF(OR(AND(AUTOEVENTO="Manual",$M37=1),$M37&gt;(ROW(PLE.lastrow)-ROW(PLE.firstrow))),0,IF(OFFSET(PLE!$G$14,$M37,BB$13)="",10^12,OFFSET(PLE!$G$14,$M37,BB$13))))</f>
        <v>1000000000000</v>
      </c>
      <c r="BC37" s="182">
        <f ca="1">IF($D37&lt;&gt;"Serviço",0,IF(OR(AND(AUTOEVENTO="Manual",$M37=1),$M37&gt;(ROW(PLE.lastrow)-ROW(PLE.firstrow))),0,IF(OFFSET(PLE!$G$14,$M37,BC$13)="",10^12,OFFSET(PLE!$G$14,$M37,BC$13))))</f>
        <v>1000000000000</v>
      </c>
      <c r="BD37" s="182">
        <f ca="1">IF($D37&lt;&gt;"Serviço",0,IF(OR(AND(AUTOEVENTO="Manual",$M37=1),$M37&gt;(ROW(PLE.lastrow)-ROW(PLE.firstrow))),0,IF(OFFSET(PLE!$G$14,$M37,BD$13)="",10^12,OFFSET(PLE!$G$14,$M37,BD$13))))</f>
        <v>1000000000000</v>
      </c>
      <c r="BE37" s="182">
        <f ca="1">IF($D37&lt;&gt;"Serviço",0,IF(OR(AND(AUTOEVENTO="Manual",$M37=1),$M37&gt;(ROW(PLE.lastrow)-ROW(PLE.firstrow))),0,IF(OFFSET(PLE!$G$14,$M37,BE$13)="",10^12,OFFSET(PLE!$G$14,$M37,BE$13))))</f>
        <v>1000000000000</v>
      </c>
      <c r="BF37" s="182">
        <f ca="1">IF($D37&lt;&gt;"Serviço",0,IF(OR(AND(AUTOEVENTO="Manual",$M37=1),$M37&gt;(ROW(PLE.lastrow)-ROW(PLE.firstrow))),0,IF(OFFSET(PLE!$G$14,$M37,BF$13)="",10^12,OFFSET(PLE!$G$14,$M37,BF$13))))</f>
        <v>1000000000000</v>
      </c>
      <c r="BG37" s="182">
        <f ca="1">IF($D37&lt;&gt;"Serviço",0,IF(OR(AND(AUTOEVENTO="Manual",$M37=1),$M37&gt;(ROW(PLE.lastrow)-ROW(PLE.firstrow))),0,IF(OFFSET(PLE!$G$14,$M37,BG$13)="",10^12,OFFSET(PLE!$G$14,$M37,BG$13))))</f>
        <v>1000000000000</v>
      </c>
    </row>
    <row r="38" spans="1:59" ht="38.25" x14ac:dyDescent="0.2">
      <c r="A38" s="7" t="str">
        <f ca="1">IF(AUTOEVENTO="Manual",IF(K38&lt;&gt;"",MIN(VALUE(LEFT(K38,FIND(".",K38)-1)),COUNTA(EVENTOS.Lista)),0),IF(OR($B38&gt;AUTOEVENTO,$B38="S",$B38=0),SUBSTITUTE(OFFSET($A38,-1,0),IF($D38="Serviço",".",""),""),ROW(A38)-ROW($A$15)&amp;"."))</f>
        <v>18</v>
      </c>
      <c r="B38" s="7" t="str">
        <f ca="1">OFFSET(ORÇAMENTO!C$15,ROW(B38)-ROW(B$15),0)</f>
        <v>S</v>
      </c>
      <c r="C38" s="7" t="str">
        <f ca="1">OFFSET(ORÇAMENTO!L$15,ROW(C38)-ROW(C$15),0)</f>
        <v>F</v>
      </c>
      <c r="D38" s="118" t="str">
        <f ca="1">OFFSET(ORÇAMENTO!N$15,ROW(D38)-ROW(D$15),0)</f>
        <v>Serviço</v>
      </c>
      <c r="E38" s="119" t="str">
        <f ca="1">OFFSET(ORÇAMENTO!O$15,ROW(E38)-ROW(E$15),0)</f>
        <v>2.2.5.</v>
      </c>
      <c r="F38" s="172" t="str">
        <f ca="1">OFFSET(ORÇAMENTO!R$15,ROW(F38)-ROW(F$15),0)</f>
        <v>CHAPA/PAINEL DE MADEIRA COMPENSADA PLASTIFICADA (MADEIRITE PLASTIFICADO) PARA FORMA DE CONCRETO, DE 2200 X 1100 MM, E = 6 MM</v>
      </c>
      <c r="G38" s="173" t="str">
        <f ca="1">IF($D38&lt;&gt;"Serviço","",OFFSET(ORÇAMENTO!S$15,ROW(G38)-ROW(G$15),0))</f>
        <v>M2</v>
      </c>
      <c r="H38" s="124">
        <f ca="1">IF($D38&lt;&gt;"Serviço",0,IF(ACOMPANHAMENTO="BM",ROUND(OFFSET(ORÇAMENTO!AJ$15,ROW(H38)-ROW(H$15),0),15-13*ORÇAMENTO!$AF$7),SUMPRODUCT(($Q$12:$AA$12&lt;&gt;"")*ROUND($Q38:$AA38,15-13*ORÇAMENTO!$AF$7))))</f>
        <v>18.8</v>
      </c>
      <c r="I38" s="561"/>
      <c r="K38" s="174"/>
      <c r="L38" s="175" t="s">
        <v>255</v>
      </c>
      <c r="M38" s="176">
        <f ca="1">IF($D38&lt;&gt;"Serviço","",IF(AUTOEVENTO="manual",$A38,IF(ISERROR(MATCH($A38,$A$15:OFFSET($A38,-1,0),0)),MAX($M$15:OFFSET(M38,-1,0))+1,INDEX($M$15:OFFSET(M38,-1,0),MATCH($A38,$A$15:OFFSET($A38,-1,0),0)))))</f>
        <v>5</v>
      </c>
      <c r="N38" s="177" t="str">
        <f ca="1">IF($D38&lt;&gt;"Serviço","",IF(AUTOEVENTO="Manual",IF($A38=0,"&lt;-- defina o número do agrupador",OFFSET(EVENTOS!$D$14,$A38,0)),OFFSET($F$15,$A38,0)))</f>
        <v>VIGA BALDRAME</v>
      </c>
      <c r="O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B38" s="544">
        <f ca="1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0</v>
      </c>
      <c r="AC38" s="545">
        <f ca="1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545">
        <f ca="1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545">
        <f ca="1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545">
        <f ca="1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545">
        <f ca="1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545">
        <f ca="1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545">
        <f ca="1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545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546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181">
        <f ca="1">IF($D38&lt;&gt;"Serviço",0,IF(AND(AUTOEVENTO="Manual",$M38=1),0,IF(OFFSET(CRONOPLE!$F$14,$M38,AM$13)="",10^12,OFFSET(CRONOPLE!$F$14,$M38,AM$13))))</f>
        <v>1000000000000</v>
      </c>
      <c r="AN38" s="181">
        <f ca="1">IF($D38&lt;&gt;"Serviço",0,IF(AND(AUTOEVENTO="Manual",$M38=1),0,IF(OFFSET(CRONOPLE!$F$14,$M38,AN$13)="",10^12,OFFSET(CRONOPLE!$F$14,$M38,AN$13))))</f>
        <v>1000000000000</v>
      </c>
      <c r="AO38" s="181">
        <f ca="1">IF($D38&lt;&gt;"Serviço",0,IF(AND(AUTOEVENTO="Manual",$M38=1),0,IF(OFFSET(CRONOPLE!$F$14,$M38,AO$13)="",10^12,OFFSET(CRONOPLE!$F$14,$M38,AO$13))))</f>
        <v>1000000000000</v>
      </c>
      <c r="AP38" s="181">
        <f ca="1">IF($D38&lt;&gt;"Serviço",0,IF(AND(AUTOEVENTO="Manual",$M38=1),0,IF(OFFSET(CRONOPLE!$F$14,$M38,AP$13)="",10^12,OFFSET(CRONOPLE!$F$14,$M38,AP$13))))</f>
        <v>1000000000000</v>
      </c>
      <c r="AQ38" s="181">
        <f ca="1">IF($D38&lt;&gt;"Serviço",0,IF(AND(AUTOEVENTO="Manual",$M38=1),0,IF(OFFSET(CRONOPLE!$F$14,$M38,AQ$13)="",10^12,OFFSET(CRONOPLE!$F$14,$M38,AQ$13))))</f>
        <v>1000000000000</v>
      </c>
      <c r="AR38" s="181">
        <f ca="1">IF($D38&lt;&gt;"Serviço",0,IF(AND(AUTOEVENTO="Manual",$M38=1),0,IF(OFFSET(CRONOPLE!$F$14,$M38,AR$13)="",10^12,OFFSET(CRONOPLE!$F$14,$M38,AR$13))))</f>
        <v>1000000000000</v>
      </c>
      <c r="AS38" s="181">
        <f ca="1">IF($D38&lt;&gt;"Serviço",0,IF(AND(AUTOEVENTO="Manual",$M38=1),0,IF(OFFSET(CRONOPLE!$F$14,$M38,AS$13)="",10^12,OFFSET(CRONOPLE!$F$14,$M38,AS$13))))</f>
        <v>1000000000000</v>
      </c>
      <c r="AT38" s="181">
        <f ca="1">IF($D38&lt;&gt;"Serviço",0,IF(AND(AUTOEVENTO="Manual",$M38=1),0,IF(OFFSET(CRONOPLE!$F$14,$M38,AT$13)="",10^12,OFFSET(CRONOPLE!$F$14,$M38,AT$13))))</f>
        <v>1000000000000</v>
      </c>
      <c r="AU38" s="181">
        <f ca="1">IF($D38&lt;&gt;"Serviço",0,IF(AND(AUTOEVENTO="Manual",$M38=1),0,IF(OFFSET(CRONOPLE!$F$14,$M38,AU$13)="",10^12,OFFSET(CRONOPLE!$F$14,$M38,AU$13))))</f>
        <v>1000000000000</v>
      </c>
      <c r="AV38" s="181">
        <f ca="1">IF($D38&lt;&gt;"Serviço",0,IF(AND(AUTOEVENTO="Manual",$M38=1),0,IF(OFFSET(CRONOPLE!$F$14,$M38,AV$13)="",10^12,OFFSET(CRONOPLE!$F$14,$M38,AV$13))))</f>
        <v>1000000000000</v>
      </c>
      <c r="AX38" s="182">
        <f ca="1">IF($D38&lt;&gt;"Serviço",0,IF(OR(AND(AUTOEVENTO="Manual",$M38=1),$M38&gt;(ROW(PLE.lastrow)-ROW(PLE.firstrow))),0,IF(OFFSET(PLE!$G$14,$M38,AX$13)="",10^12,OFFSET(PLE!$G$14,$M38,AX$13))))</f>
        <v>1000000000000</v>
      </c>
      <c r="AY38" s="182">
        <f ca="1">IF($D38&lt;&gt;"Serviço",0,IF(OR(AND(AUTOEVENTO="Manual",$M38=1),$M38&gt;(ROW(PLE.lastrow)-ROW(PLE.firstrow))),0,IF(OFFSET(PLE!$G$14,$M38,AY$13)="",10^12,OFFSET(PLE!$G$14,$M38,AY$13))))</f>
        <v>1000000000000</v>
      </c>
      <c r="AZ38" s="182">
        <f ca="1">IF($D38&lt;&gt;"Serviço",0,IF(OR(AND(AUTOEVENTO="Manual",$M38=1),$M38&gt;(ROW(PLE.lastrow)-ROW(PLE.firstrow))),0,IF(OFFSET(PLE!$G$14,$M38,AZ$13)="",10^12,OFFSET(PLE!$G$14,$M38,AZ$13))))</f>
        <v>1000000000000</v>
      </c>
      <c r="BA38" s="182">
        <f ca="1">IF($D38&lt;&gt;"Serviço",0,IF(OR(AND(AUTOEVENTO="Manual",$M38=1),$M38&gt;(ROW(PLE.lastrow)-ROW(PLE.firstrow))),0,IF(OFFSET(PLE!$G$14,$M38,BA$13)="",10^12,OFFSET(PLE!$G$14,$M38,BA$13))))</f>
        <v>1000000000000</v>
      </c>
      <c r="BB38" s="182">
        <f ca="1">IF($D38&lt;&gt;"Serviço",0,IF(OR(AND(AUTOEVENTO="Manual",$M38=1),$M38&gt;(ROW(PLE.lastrow)-ROW(PLE.firstrow))),0,IF(OFFSET(PLE!$G$14,$M38,BB$13)="",10^12,OFFSET(PLE!$G$14,$M38,BB$13))))</f>
        <v>1000000000000</v>
      </c>
      <c r="BC38" s="182">
        <f ca="1">IF($D38&lt;&gt;"Serviço",0,IF(OR(AND(AUTOEVENTO="Manual",$M38=1),$M38&gt;(ROW(PLE.lastrow)-ROW(PLE.firstrow))),0,IF(OFFSET(PLE!$G$14,$M38,BC$13)="",10^12,OFFSET(PLE!$G$14,$M38,BC$13))))</f>
        <v>1000000000000</v>
      </c>
      <c r="BD38" s="182">
        <f ca="1">IF($D38&lt;&gt;"Serviço",0,IF(OR(AND(AUTOEVENTO="Manual",$M38=1),$M38&gt;(ROW(PLE.lastrow)-ROW(PLE.firstrow))),0,IF(OFFSET(PLE!$G$14,$M38,BD$13)="",10^12,OFFSET(PLE!$G$14,$M38,BD$13))))</f>
        <v>1000000000000</v>
      </c>
      <c r="BE38" s="182">
        <f ca="1">IF($D38&lt;&gt;"Serviço",0,IF(OR(AND(AUTOEVENTO="Manual",$M38=1),$M38&gt;(ROW(PLE.lastrow)-ROW(PLE.firstrow))),0,IF(OFFSET(PLE!$G$14,$M38,BE$13)="",10^12,OFFSET(PLE!$G$14,$M38,BE$13))))</f>
        <v>1000000000000</v>
      </c>
      <c r="BF38" s="182">
        <f ca="1">IF($D38&lt;&gt;"Serviço",0,IF(OR(AND(AUTOEVENTO="Manual",$M38=1),$M38&gt;(ROW(PLE.lastrow)-ROW(PLE.firstrow))),0,IF(OFFSET(PLE!$G$14,$M38,BF$13)="",10^12,OFFSET(PLE!$G$14,$M38,BF$13))))</f>
        <v>1000000000000</v>
      </c>
      <c r="BG38" s="18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25.5" x14ac:dyDescent="0.2">
      <c r="A39" s="7" t="str">
        <f t="shared" ca="1" si="8"/>
        <v>18</v>
      </c>
      <c r="B39" s="7" t="str">
        <f ca="1">OFFSET(ORÇAMENTO!C$15,ROW(B39)-ROW(B$15),0)</f>
        <v>S</v>
      </c>
      <c r="C39" s="7" t="str">
        <f ca="1">OFFSET(ORÇAMENTO!L$15,ROW(C39)-ROW(C$15),0)</f>
        <v>F</v>
      </c>
      <c r="D39" s="118" t="str">
        <f ca="1">OFFSET(ORÇAMENTO!N$15,ROW(D39)-ROW(D$15),0)</f>
        <v>Serviço</v>
      </c>
      <c r="E39" s="119" t="str">
        <f ca="1">OFFSET(ORÇAMENTO!O$15,ROW(E39)-ROW(E$15),0)</f>
        <v>2.2.6.</v>
      </c>
      <c r="F39" s="172" t="str">
        <f ca="1">OFFSET(ORÇAMENTO!R$15,ROW(F39)-ROW(F$15),0)</f>
        <v>IMPERMEABILIZAÇÃO DE SUPERFÍCIE COM EMULSÃO ASFÁLTICA, 2 DEMÃOS. AF_09/2023</v>
      </c>
      <c r="G39" s="173" t="str">
        <f ca="1">IF($D39&lt;&gt;"Serviço","",OFFSET(ORÇAMENTO!S$15,ROW(G39)-ROW(G$15),0))</f>
        <v>M2</v>
      </c>
      <c r="H39" s="124">
        <f ca="1">IF($D39&lt;&gt;"Serviço",0,IF(ACOMPANHAMENTO="BM",ROUND(OFFSET(ORÇAMENTO!AJ$15,ROW(H39)-ROW(H$15),0),15-13*ORÇAMENTO!$AF$7),SUMPRODUCT(($Q$12:$AA$12&lt;&gt;"")*ROUND($Q39:$AA39,15-13*ORÇAMENTO!$AF$7))))</f>
        <v>12.12</v>
      </c>
      <c r="I39" s="561"/>
      <c r="K39" s="174"/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5</v>
      </c>
      <c r="N39" s="177" t="str">
        <f ca="1">IF($D39&lt;&gt;"Serviço","",IF(AUTOEVENTO="Manual",IF($A39=0,"&lt;-- defina o número do agrupador",OFFSET(EVENTOS!$D$14,$A39,0)),OFFSET($F$15,$A39,0)))</f>
        <v>VIGA BALDRAME</v>
      </c>
      <c r="O39" s="178"/>
      <c r="Q39" s="178"/>
      <c r="R39" s="179"/>
      <c r="S39" s="179"/>
      <c r="T39" s="179"/>
      <c r="U39" s="179"/>
      <c r="V39" s="179"/>
      <c r="W39" s="179"/>
      <c r="X39" s="179"/>
      <c r="Y39" s="179"/>
      <c r="Z39" s="180"/>
      <c r="AB39" s="544">
        <f ca="1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0</v>
      </c>
      <c r="AC39" s="545">
        <f ca="1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545">
        <f ca="1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545">
        <f ca="1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545">
        <f ca="1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545">
        <f ca="1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545">
        <f ca="1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545">
        <f ca="1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545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546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181">
        <f ca="1">IF($D39&lt;&gt;"Serviço",0,IF(AND(AUTOEVENTO="Manual",$M39=1),0,IF(OFFSET(CRONOPLE!$F$14,$M39,AM$13)="",10^12,OFFSET(CRONOPLE!$F$14,$M39,AM$13))))</f>
        <v>1000000000000</v>
      </c>
      <c r="AN39" s="181">
        <f ca="1">IF($D39&lt;&gt;"Serviço",0,IF(AND(AUTOEVENTO="Manual",$M39=1),0,IF(OFFSET(CRONOPLE!$F$14,$M39,AN$13)="",10^12,OFFSET(CRONOPLE!$F$14,$M39,AN$13))))</f>
        <v>1000000000000</v>
      </c>
      <c r="AO39" s="181">
        <f ca="1">IF($D39&lt;&gt;"Serviço",0,IF(AND(AUTOEVENTO="Manual",$M39=1),0,IF(OFFSET(CRONOPLE!$F$14,$M39,AO$13)="",10^12,OFFSET(CRONOPLE!$F$14,$M39,AO$13))))</f>
        <v>1000000000000</v>
      </c>
      <c r="AP39" s="181">
        <f ca="1">IF($D39&lt;&gt;"Serviço",0,IF(AND(AUTOEVENTO="Manual",$M39=1),0,IF(OFFSET(CRONOPLE!$F$14,$M39,AP$13)="",10^12,OFFSET(CRONOPLE!$F$14,$M39,AP$13))))</f>
        <v>1000000000000</v>
      </c>
      <c r="AQ39" s="181">
        <f ca="1">IF($D39&lt;&gt;"Serviço",0,IF(AND(AUTOEVENTO="Manual",$M39=1),0,IF(OFFSET(CRONOPLE!$F$14,$M39,AQ$13)="",10^12,OFFSET(CRONOPLE!$F$14,$M39,AQ$13))))</f>
        <v>1000000000000</v>
      </c>
      <c r="AR39" s="181">
        <f ca="1">IF($D39&lt;&gt;"Serviço",0,IF(AND(AUTOEVENTO="Manual",$M39=1),0,IF(OFFSET(CRONOPLE!$F$14,$M39,AR$13)="",10^12,OFFSET(CRONOPLE!$F$14,$M39,AR$13))))</f>
        <v>1000000000000</v>
      </c>
      <c r="AS39" s="181">
        <f ca="1">IF($D39&lt;&gt;"Serviço",0,IF(AND(AUTOEVENTO="Manual",$M39=1),0,IF(OFFSET(CRONOPLE!$F$14,$M39,AS$13)="",10^12,OFFSET(CRONOPLE!$F$14,$M39,AS$13))))</f>
        <v>1000000000000</v>
      </c>
      <c r="AT39" s="181">
        <f ca="1">IF($D39&lt;&gt;"Serviço",0,IF(AND(AUTOEVENTO="Manual",$M39=1),0,IF(OFFSET(CRONOPLE!$F$14,$M39,AT$13)="",10^12,OFFSET(CRONOPLE!$F$14,$M39,AT$13))))</f>
        <v>1000000000000</v>
      </c>
      <c r="AU39" s="181">
        <f ca="1">IF($D39&lt;&gt;"Serviço",0,IF(AND(AUTOEVENTO="Manual",$M39=1),0,IF(OFFSET(CRONOPLE!$F$14,$M39,AU$13)="",10^12,OFFSET(CRONOPLE!$F$14,$M39,AU$13))))</f>
        <v>1000000000000</v>
      </c>
      <c r="AV39" s="181">
        <f ca="1">IF($D39&lt;&gt;"Serviço",0,IF(AND(AUTOEVENTO="Manual",$M39=1),0,IF(OFFSET(CRONOPLE!$F$14,$M39,AV$13)="",10^12,OFFSET(CRONOPLE!$F$14,$M39,AV$13))))</f>
        <v>1000000000000</v>
      </c>
      <c r="AX39" s="182">
        <f ca="1">IF($D39&lt;&gt;"Serviço",0,IF(OR(AND(AUTOEVENTO="Manual",$M39=1),$M39&gt;(ROW(PLE.lastrow)-ROW(PLE.firstrow))),0,IF(OFFSET(PLE!$G$14,$M39,AX$13)="",10^12,OFFSET(PLE!$G$14,$M39,AX$13))))</f>
        <v>1000000000000</v>
      </c>
      <c r="AY39" s="182">
        <f ca="1">IF($D39&lt;&gt;"Serviço",0,IF(OR(AND(AUTOEVENTO="Manual",$M39=1),$M39&gt;(ROW(PLE.lastrow)-ROW(PLE.firstrow))),0,IF(OFFSET(PLE!$G$14,$M39,AY$13)="",10^12,OFFSET(PLE!$G$14,$M39,AY$13))))</f>
        <v>1000000000000</v>
      </c>
      <c r="AZ39" s="182">
        <f ca="1">IF($D39&lt;&gt;"Serviço",0,IF(OR(AND(AUTOEVENTO="Manual",$M39=1),$M39&gt;(ROW(PLE.lastrow)-ROW(PLE.firstrow))),0,IF(OFFSET(PLE!$G$14,$M39,AZ$13)="",10^12,OFFSET(PLE!$G$14,$M39,AZ$13))))</f>
        <v>1000000000000</v>
      </c>
      <c r="BA39" s="182">
        <f ca="1">IF($D39&lt;&gt;"Serviço",0,IF(OR(AND(AUTOEVENTO="Manual",$M39=1),$M39&gt;(ROW(PLE.lastrow)-ROW(PLE.firstrow))),0,IF(OFFSET(PLE!$G$14,$M39,BA$13)="",10^12,OFFSET(PLE!$G$14,$M39,BA$13))))</f>
        <v>1000000000000</v>
      </c>
      <c r="BB39" s="182">
        <f ca="1">IF($D39&lt;&gt;"Serviço",0,IF(OR(AND(AUTOEVENTO="Manual",$M39=1),$M39&gt;(ROW(PLE.lastrow)-ROW(PLE.firstrow))),0,IF(OFFSET(PLE!$G$14,$M39,BB$13)="",10^12,OFFSET(PLE!$G$14,$M39,BB$13))))</f>
        <v>1000000000000</v>
      </c>
      <c r="BC39" s="182">
        <f ca="1">IF($D39&lt;&gt;"Serviço",0,IF(OR(AND(AUTOEVENTO="Manual",$M39=1),$M39&gt;(ROW(PLE.lastrow)-ROW(PLE.firstrow))),0,IF(OFFSET(PLE!$G$14,$M39,BC$13)="",10^12,OFFSET(PLE!$G$14,$M39,BC$13))))</f>
        <v>1000000000000</v>
      </c>
      <c r="BD39" s="182">
        <f ca="1">IF($D39&lt;&gt;"Serviço",0,IF(OR(AND(AUTOEVENTO="Manual",$M39=1),$M39&gt;(ROW(PLE.lastrow)-ROW(PLE.firstrow))),0,IF(OFFSET(PLE!$G$14,$M39,BD$13)="",10^12,OFFSET(PLE!$G$14,$M39,BD$13))))</f>
        <v>1000000000000</v>
      </c>
      <c r="BE39" s="182">
        <f ca="1">IF($D39&lt;&gt;"Serviço",0,IF(OR(AND(AUTOEVENTO="Manual",$M39=1),$M39&gt;(ROW(PLE.lastrow)-ROW(PLE.firstrow))),0,IF(OFFSET(PLE!$G$14,$M39,BE$13)="",10^12,OFFSET(PLE!$G$14,$M39,BE$13))))</f>
        <v>1000000000000</v>
      </c>
      <c r="BF39" s="182">
        <f ca="1">IF($D39&lt;&gt;"Serviço",0,IF(OR(AND(AUTOEVENTO="Manual",$M39=1),$M39&gt;(ROW(PLE.lastrow)-ROW(PLE.firstrow))),0,IF(OFFSET(PLE!$G$14,$M39,BF$13)="",10^12,OFFSET(PLE!$G$14,$M39,BF$13))))</f>
        <v>1000000000000</v>
      </c>
      <c r="BG39" s="18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12.75" x14ac:dyDescent="0.2">
      <c r="A40" s="7" t="str">
        <f t="shared" ca="1" si="8"/>
        <v>25.</v>
      </c>
      <c r="B40" s="7">
        <f ca="1">OFFSET(ORÇAMENTO!C$15,ROW(B40)-ROW(B$15),0)</f>
        <v>1</v>
      </c>
      <c r="C40" s="7" t="str">
        <f ca="1">OFFSET(ORÇAMENTO!L$15,ROW(C40)-ROW(C$15),0)</f>
        <v>F</v>
      </c>
      <c r="D40" s="118" t="str">
        <f ca="1">OFFSET(ORÇAMENTO!N$15,ROW(D40)-ROW(D$15),0)</f>
        <v>Meta</v>
      </c>
      <c r="E40" s="119" t="str">
        <f ca="1">OFFSET(ORÇAMENTO!O$15,ROW(E40)-ROW(E$15),0)</f>
        <v>3.</v>
      </c>
      <c r="F40" s="172" t="str">
        <f ca="1">OFFSET(ORÇAMENTO!R$15,ROW(F40)-ROW(F$15),0)</f>
        <v xml:space="preserve">SUPRAESTRUTURA </v>
      </c>
      <c r="G40" s="173" t="str">
        <f ca="1">IF($D40&lt;&gt;"Serviço","",OFFSET(ORÇAMENTO!S$15,ROW(G40)-ROW(G$15),0))</f>
        <v/>
      </c>
      <c r="H40" s="124">
        <f ca="1">IF($D40&lt;&gt;"Serviço",0,IF(ACOMPANHAMENTO="BM",ROUND(OFFSET(ORÇAMENTO!AJ$15,ROW(H40)-ROW(H$15),0),15-13*ORÇAMENTO!$AF$7),SUMPRODUCT(($Q$12:$AA$12&lt;&gt;"")*ROUND($Q40:$AA40,15-13*ORÇAMENTO!$AF$7))))</f>
        <v>0</v>
      </c>
      <c r="I40" s="561"/>
      <c r="K40" s="174"/>
      <c r="L40" s="175" t="s">
        <v>255</v>
      </c>
      <c r="M40" s="176" t="str">
        <f ca="1">IF($D40&lt;&gt;"Serviço","",IF(AUTOEVENTO="manual",$A40,IF(ISERROR(MATCH($A40,$A$15:OFFSET($A40,-1,0),0)),MAX($M$15:OFFSET(M40,-1,0))+1,INDEX($M$15:OFFSET(M40,-1,0),MATCH($A40,$A$15:OFFSET($A40,-1,0),0)))))</f>
        <v/>
      </c>
      <c r="N40" s="177" t="str">
        <f ca="1">IF($D40&lt;&gt;"Serviço","",IF(AUTOEVENTO="Manual",IF($A40=0,"&lt;-- defina o número do agrupador",OFFSET(EVENTOS!$D$14,$A40,0)),OFFSET($F$15,$A40,0)))</f>
        <v/>
      </c>
      <c r="O40" s="178"/>
      <c r="Q40" s="178"/>
      <c r="R40" s="179"/>
      <c r="S40" s="179"/>
      <c r="T40" s="179"/>
      <c r="U40" s="179"/>
      <c r="V40" s="179"/>
      <c r="W40" s="179"/>
      <c r="X40" s="179"/>
      <c r="Y40" s="179"/>
      <c r="Z40" s="180"/>
      <c r="AB40" s="544">
        <f ca="1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0</v>
      </c>
      <c r="AC40" s="545">
        <f ca="1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545">
        <f ca="1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545">
        <f ca="1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545">
        <f ca="1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545">
        <f ca="1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545">
        <f ca="1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545">
        <f ca="1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545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546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181">
        <f ca="1">IF($D40&lt;&gt;"Serviço",0,IF(AND(AUTOEVENTO="Manual",$M40=1),0,IF(OFFSET(CRONOPLE!$F$14,$M40,AM$13)="",10^12,OFFSET(CRONOPLE!$F$14,$M40,AM$13))))</f>
        <v>0</v>
      </c>
      <c r="AN40" s="181">
        <f ca="1">IF($D40&lt;&gt;"Serviço",0,IF(AND(AUTOEVENTO="Manual",$M40=1),0,IF(OFFSET(CRONOPLE!$F$14,$M40,AN$13)="",10^12,OFFSET(CRONOPLE!$F$14,$M40,AN$13))))</f>
        <v>0</v>
      </c>
      <c r="AO40" s="181">
        <f ca="1">IF($D40&lt;&gt;"Serviço",0,IF(AND(AUTOEVENTO="Manual",$M40=1),0,IF(OFFSET(CRONOPLE!$F$14,$M40,AO$13)="",10^12,OFFSET(CRONOPLE!$F$14,$M40,AO$13))))</f>
        <v>0</v>
      </c>
      <c r="AP40" s="181">
        <f ca="1">IF($D40&lt;&gt;"Serviço",0,IF(AND(AUTOEVENTO="Manual",$M40=1),0,IF(OFFSET(CRONOPLE!$F$14,$M40,AP$13)="",10^12,OFFSET(CRONOPLE!$F$14,$M40,AP$13))))</f>
        <v>0</v>
      </c>
      <c r="AQ40" s="181">
        <f ca="1">IF($D40&lt;&gt;"Serviço",0,IF(AND(AUTOEVENTO="Manual",$M40=1),0,IF(OFFSET(CRONOPLE!$F$14,$M40,AQ$13)="",10^12,OFFSET(CRONOPLE!$F$14,$M40,AQ$13))))</f>
        <v>0</v>
      </c>
      <c r="AR40" s="181">
        <f ca="1">IF($D40&lt;&gt;"Serviço",0,IF(AND(AUTOEVENTO="Manual",$M40=1),0,IF(OFFSET(CRONOPLE!$F$14,$M40,AR$13)="",10^12,OFFSET(CRONOPLE!$F$14,$M40,AR$13))))</f>
        <v>0</v>
      </c>
      <c r="AS40" s="181">
        <f ca="1">IF($D40&lt;&gt;"Serviço",0,IF(AND(AUTOEVENTO="Manual",$M40=1),0,IF(OFFSET(CRONOPLE!$F$14,$M40,AS$13)="",10^12,OFFSET(CRONOPLE!$F$14,$M40,AS$13))))</f>
        <v>0</v>
      </c>
      <c r="AT40" s="181">
        <f ca="1">IF($D40&lt;&gt;"Serviço",0,IF(AND(AUTOEVENTO="Manual",$M40=1),0,IF(OFFSET(CRONOPLE!$F$14,$M40,AT$13)="",10^12,OFFSET(CRONOPLE!$F$14,$M40,AT$13))))</f>
        <v>0</v>
      </c>
      <c r="AU40" s="181">
        <f ca="1">IF($D40&lt;&gt;"Serviço",0,IF(AND(AUTOEVENTO="Manual",$M40=1),0,IF(OFFSET(CRONOPLE!$F$14,$M40,AU$13)="",10^12,OFFSET(CRONOPLE!$F$14,$M40,AU$13))))</f>
        <v>0</v>
      </c>
      <c r="AV40" s="181">
        <f ca="1">IF($D40&lt;&gt;"Serviço",0,IF(AND(AUTOEVENTO="Manual",$M40=1),0,IF(OFFSET(CRONOPLE!$F$14,$M40,AV$13)="",10^12,OFFSET(CRONOPLE!$F$14,$M40,AV$13))))</f>
        <v>0</v>
      </c>
      <c r="AX40" s="182">
        <f ca="1">IF($D40&lt;&gt;"Serviço",0,IF(OR(AND(AUTOEVENTO="Manual",$M40=1),$M40&gt;(ROW(PLE.lastrow)-ROW(PLE.firstrow))),0,IF(OFFSET(PLE!$G$14,$M40,AX$13)="",10^12,OFFSET(PLE!$G$14,$M40,AX$13))))</f>
        <v>0</v>
      </c>
      <c r="AY40" s="182">
        <f ca="1">IF($D40&lt;&gt;"Serviço",0,IF(OR(AND(AUTOEVENTO="Manual",$M40=1),$M40&gt;(ROW(PLE.lastrow)-ROW(PLE.firstrow))),0,IF(OFFSET(PLE!$G$14,$M40,AY$13)="",10^12,OFFSET(PLE!$G$14,$M40,AY$13))))</f>
        <v>0</v>
      </c>
      <c r="AZ40" s="182">
        <f ca="1">IF($D40&lt;&gt;"Serviço",0,IF(OR(AND(AUTOEVENTO="Manual",$M40=1),$M40&gt;(ROW(PLE.lastrow)-ROW(PLE.firstrow))),0,IF(OFFSET(PLE!$G$14,$M40,AZ$13)="",10^12,OFFSET(PLE!$G$14,$M40,AZ$13))))</f>
        <v>0</v>
      </c>
      <c r="BA40" s="182">
        <f ca="1">IF($D40&lt;&gt;"Serviço",0,IF(OR(AND(AUTOEVENTO="Manual",$M40=1),$M40&gt;(ROW(PLE.lastrow)-ROW(PLE.firstrow))),0,IF(OFFSET(PLE!$G$14,$M40,BA$13)="",10^12,OFFSET(PLE!$G$14,$M40,BA$13))))</f>
        <v>0</v>
      </c>
      <c r="BB40" s="182">
        <f ca="1">IF($D40&lt;&gt;"Serviço",0,IF(OR(AND(AUTOEVENTO="Manual",$M40=1),$M40&gt;(ROW(PLE.lastrow)-ROW(PLE.firstrow))),0,IF(OFFSET(PLE!$G$14,$M40,BB$13)="",10^12,OFFSET(PLE!$G$14,$M40,BB$13))))</f>
        <v>0</v>
      </c>
      <c r="BC40" s="182">
        <f ca="1">IF($D40&lt;&gt;"Serviço",0,IF(OR(AND(AUTOEVENTO="Manual",$M40=1),$M40&gt;(ROW(PLE.lastrow)-ROW(PLE.firstrow))),0,IF(OFFSET(PLE!$G$14,$M40,BC$13)="",10^12,OFFSET(PLE!$G$14,$M40,BC$13))))</f>
        <v>0</v>
      </c>
      <c r="BD40" s="182">
        <f ca="1">IF($D40&lt;&gt;"Serviço",0,IF(OR(AND(AUTOEVENTO="Manual",$M40=1),$M40&gt;(ROW(PLE.lastrow)-ROW(PLE.firstrow))),0,IF(OFFSET(PLE!$G$14,$M40,BD$13)="",10^12,OFFSET(PLE!$G$14,$M40,BD$13))))</f>
        <v>0</v>
      </c>
      <c r="BE40" s="182">
        <f ca="1">IF($D40&lt;&gt;"Serviço",0,IF(OR(AND(AUTOEVENTO="Manual",$M40=1),$M40&gt;(ROW(PLE.lastrow)-ROW(PLE.firstrow))),0,IF(OFFSET(PLE!$G$14,$M40,BE$13)="",10^12,OFFSET(PLE!$G$14,$M40,BE$13))))</f>
        <v>0</v>
      </c>
      <c r="BF40" s="182">
        <f ca="1">IF($D40&lt;&gt;"Serviço",0,IF(OR(AND(AUTOEVENTO="Manual",$M40=1),$M40&gt;(ROW(PLE.lastrow)-ROW(PLE.firstrow))),0,IF(OFFSET(PLE!$G$14,$M40,BF$13)="",10^12,OFFSET(PLE!$G$14,$M40,BF$13))))</f>
        <v>0</v>
      </c>
      <c r="BG40" s="182">
        <f ca="1">IF($D40&lt;&gt;"Serviço",0,IF(OR(AND(AUTOEVENTO="Manual",$M40=1),$M40&gt;(ROW(PLE.lastrow)-ROW(PLE.firstrow))),0,IF(OFFSET(PLE!$G$14,$M40,BG$13)="",10^12,OFFSET(PLE!$G$14,$M40,BG$13))))</f>
        <v>0</v>
      </c>
    </row>
    <row r="41" spans="1:59" ht="12.75" x14ac:dyDescent="0.2">
      <c r="A41" s="7" t="str">
        <f t="shared" ca="1" si="8"/>
        <v>26.</v>
      </c>
      <c r="B41" s="7">
        <f ca="1">OFFSET(ORÇAMENTO!C$15,ROW(B41)-ROW(B$15),0)</f>
        <v>2</v>
      </c>
      <c r="C41" s="7" t="str">
        <f ca="1">OFFSET(ORÇAMENTO!L$15,ROW(C41)-ROW(C$15),0)</f>
        <v>F</v>
      </c>
      <c r="D41" s="118" t="str">
        <f ca="1">OFFSET(ORÇAMENTO!N$15,ROW(D41)-ROW(D$15),0)</f>
        <v>Nível 2</v>
      </c>
      <c r="E41" s="119" t="str">
        <f ca="1">OFFSET(ORÇAMENTO!O$15,ROW(E41)-ROW(E$15),0)</f>
        <v>3.1.</v>
      </c>
      <c r="F41" s="172" t="str">
        <f ca="1">OFFSET(ORÇAMENTO!R$15,ROW(F41)-ROW(F$15),0)</f>
        <v xml:space="preserve">PILARES </v>
      </c>
      <c r="G41" s="173" t="str">
        <f ca="1">IF($D41&lt;&gt;"Serviço","",OFFSET(ORÇAMENTO!S$15,ROW(G41)-ROW(G$15),0))</f>
        <v/>
      </c>
      <c r="H41" s="124">
        <f ca="1">IF($D41&lt;&gt;"Serviço",0,IF(ACOMPANHAMENTO="BM",ROUND(OFFSET(ORÇAMENTO!AJ$15,ROW(H41)-ROW(H$15),0),15-13*ORÇAMENTO!$AF$7),SUMPRODUCT(($Q$12:$AA$12&lt;&gt;"")*ROUND($Q41:$AA41,15-13*ORÇAMENTO!$AF$7))))</f>
        <v>0</v>
      </c>
      <c r="I41" s="561"/>
      <c r="K41" s="174"/>
      <c r="L41" s="175" t="s">
        <v>255</v>
      </c>
      <c r="M41" s="176" t="str">
        <f ca="1">IF($D41&lt;&gt;"Serviço","",IF(AUTOEVENTO="manual",$A41,IF(ISERROR(MATCH($A41,$A$15:OFFSET($A41,-1,0),0)),MAX($M$15:OFFSET(M41,-1,0))+1,INDEX($M$15:OFFSET(M41,-1,0),MATCH($A41,$A$15:OFFSET($A41,-1,0),0)))))</f>
        <v/>
      </c>
      <c r="N41" s="177" t="str">
        <f ca="1">IF($D41&lt;&gt;"Serviço","",IF(AUTOEVENTO="Manual",IF($A41=0,"&lt;-- defina o número do agrupador",OFFSET(EVENTOS!$D$14,$A41,0)),OFFSET($F$15,$A41,0)))</f>
        <v/>
      </c>
      <c r="O41" s="178"/>
      <c r="Q41" s="178"/>
      <c r="R41" s="179"/>
      <c r="S41" s="179"/>
      <c r="T41" s="179"/>
      <c r="U41" s="179"/>
      <c r="V41" s="179"/>
      <c r="W41" s="179"/>
      <c r="X41" s="179"/>
      <c r="Y41" s="179"/>
      <c r="Z41" s="180"/>
      <c r="AB41" s="544">
        <f ca="1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0</v>
      </c>
      <c r="AC41" s="545">
        <f ca="1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545">
        <f ca="1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545">
        <f ca="1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545">
        <f ca="1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545">
        <f ca="1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545">
        <f ca="1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545">
        <f ca="1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545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546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181">
        <f ca="1">IF($D41&lt;&gt;"Serviço",0,IF(AND(AUTOEVENTO="Manual",$M41=1),0,IF(OFFSET(CRONOPLE!$F$14,$M41,AM$13)="",10^12,OFFSET(CRONOPLE!$F$14,$M41,AM$13))))</f>
        <v>0</v>
      </c>
      <c r="AN41" s="181">
        <f ca="1">IF($D41&lt;&gt;"Serviço",0,IF(AND(AUTOEVENTO="Manual",$M41=1),0,IF(OFFSET(CRONOPLE!$F$14,$M41,AN$13)="",10^12,OFFSET(CRONOPLE!$F$14,$M41,AN$13))))</f>
        <v>0</v>
      </c>
      <c r="AO41" s="181">
        <f ca="1">IF($D41&lt;&gt;"Serviço",0,IF(AND(AUTOEVENTO="Manual",$M41=1),0,IF(OFFSET(CRONOPLE!$F$14,$M41,AO$13)="",10^12,OFFSET(CRONOPLE!$F$14,$M41,AO$13))))</f>
        <v>0</v>
      </c>
      <c r="AP41" s="181">
        <f ca="1">IF($D41&lt;&gt;"Serviço",0,IF(AND(AUTOEVENTO="Manual",$M41=1),0,IF(OFFSET(CRONOPLE!$F$14,$M41,AP$13)="",10^12,OFFSET(CRONOPLE!$F$14,$M41,AP$13))))</f>
        <v>0</v>
      </c>
      <c r="AQ41" s="181">
        <f ca="1">IF($D41&lt;&gt;"Serviço",0,IF(AND(AUTOEVENTO="Manual",$M41=1),0,IF(OFFSET(CRONOPLE!$F$14,$M41,AQ$13)="",10^12,OFFSET(CRONOPLE!$F$14,$M41,AQ$13))))</f>
        <v>0</v>
      </c>
      <c r="AR41" s="181">
        <f ca="1">IF($D41&lt;&gt;"Serviço",0,IF(AND(AUTOEVENTO="Manual",$M41=1),0,IF(OFFSET(CRONOPLE!$F$14,$M41,AR$13)="",10^12,OFFSET(CRONOPLE!$F$14,$M41,AR$13))))</f>
        <v>0</v>
      </c>
      <c r="AS41" s="181">
        <f ca="1">IF($D41&lt;&gt;"Serviço",0,IF(AND(AUTOEVENTO="Manual",$M41=1),0,IF(OFFSET(CRONOPLE!$F$14,$M41,AS$13)="",10^12,OFFSET(CRONOPLE!$F$14,$M41,AS$13))))</f>
        <v>0</v>
      </c>
      <c r="AT41" s="181">
        <f ca="1">IF($D41&lt;&gt;"Serviço",0,IF(AND(AUTOEVENTO="Manual",$M41=1),0,IF(OFFSET(CRONOPLE!$F$14,$M41,AT$13)="",10^12,OFFSET(CRONOPLE!$F$14,$M41,AT$13))))</f>
        <v>0</v>
      </c>
      <c r="AU41" s="181">
        <f ca="1">IF($D41&lt;&gt;"Serviço",0,IF(AND(AUTOEVENTO="Manual",$M41=1),0,IF(OFFSET(CRONOPLE!$F$14,$M41,AU$13)="",10^12,OFFSET(CRONOPLE!$F$14,$M41,AU$13))))</f>
        <v>0</v>
      </c>
      <c r="AV41" s="181">
        <f ca="1">IF($D41&lt;&gt;"Serviço",0,IF(AND(AUTOEVENTO="Manual",$M41=1),0,IF(OFFSET(CRONOPLE!$F$14,$M41,AV$13)="",10^12,OFFSET(CRONOPLE!$F$14,$M41,AV$13))))</f>
        <v>0</v>
      </c>
      <c r="AX41" s="182">
        <f ca="1">IF($D41&lt;&gt;"Serviço",0,IF(OR(AND(AUTOEVENTO="Manual",$M41=1),$M41&gt;(ROW(PLE.lastrow)-ROW(PLE.firstrow))),0,IF(OFFSET(PLE!$G$14,$M41,AX$13)="",10^12,OFFSET(PLE!$G$14,$M41,AX$13))))</f>
        <v>0</v>
      </c>
      <c r="AY41" s="182">
        <f ca="1">IF($D41&lt;&gt;"Serviço",0,IF(OR(AND(AUTOEVENTO="Manual",$M41=1),$M41&gt;(ROW(PLE.lastrow)-ROW(PLE.firstrow))),0,IF(OFFSET(PLE!$G$14,$M41,AY$13)="",10^12,OFFSET(PLE!$G$14,$M41,AY$13))))</f>
        <v>0</v>
      </c>
      <c r="AZ41" s="182">
        <f ca="1">IF($D41&lt;&gt;"Serviço",0,IF(OR(AND(AUTOEVENTO="Manual",$M41=1),$M41&gt;(ROW(PLE.lastrow)-ROW(PLE.firstrow))),0,IF(OFFSET(PLE!$G$14,$M41,AZ$13)="",10^12,OFFSET(PLE!$G$14,$M41,AZ$13))))</f>
        <v>0</v>
      </c>
      <c r="BA41" s="182">
        <f ca="1">IF($D41&lt;&gt;"Serviço",0,IF(OR(AND(AUTOEVENTO="Manual",$M41=1),$M41&gt;(ROW(PLE.lastrow)-ROW(PLE.firstrow))),0,IF(OFFSET(PLE!$G$14,$M41,BA$13)="",10^12,OFFSET(PLE!$G$14,$M41,BA$13))))</f>
        <v>0</v>
      </c>
      <c r="BB41" s="182">
        <f ca="1">IF($D41&lt;&gt;"Serviço",0,IF(OR(AND(AUTOEVENTO="Manual",$M41=1),$M41&gt;(ROW(PLE.lastrow)-ROW(PLE.firstrow))),0,IF(OFFSET(PLE!$G$14,$M41,BB$13)="",10^12,OFFSET(PLE!$G$14,$M41,BB$13))))</f>
        <v>0</v>
      </c>
      <c r="BC41" s="182">
        <f ca="1">IF($D41&lt;&gt;"Serviço",0,IF(OR(AND(AUTOEVENTO="Manual",$M41=1),$M41&gt;(ROW(PLE.lastrow)-ROW(PLE.firstrow))),0,IF(OFFSET(PLE!$G$14,$M41,BC$13)="",10^12,OFFSET(PLE!$G$14,$M41,BC$13))))</f>
        <v>0</v>
      </c>
      <c r="BD41" s="182">
        <f ca="1">IF($D41&lt;&gt;"Serviço",0,IF(OR(AND(AUTOEVENTO="Manual",$M41=1),$M41&gt;(ROW(PLE.lastrow)-ROW(PLE.firstrow))),0,IF(OFFSET(PLE!$G$14,$M41,BD$13)="",10^12,OFFSET(PLE!$G$14,$M41,BD$13))))</f>
        <v>0</v>
      </c>
      <c r="BE41" s="182">
        <f ca="1">IF($D41&lt;&gt;"Serviço",0,IF(OR(AND(AUTOEVENTO="Manual",$M41=1),$M41&gt;(ROW(PLE.lastrow)-ROW(PLE.firstrow))),0,IF(OFFSET(PLE!$G$14,$M41,BE$13)="",10^12,OFFSET(PLE!$G$14,$M41,BE$13))))</f>
        <v>0</v>
      </c>
      <c r="BF41" s="182">
        <f ca="1">IF($D41&lt;&gt;"Serviço",0,IF(OR(AND(AUTOEVENTO="Manual",$M41=1),$M41&gt;(ROW(PLE.lastrow)-ROW(PLE.firstrow))),0,IF(OFFSET(PLE!$G$14,$M41,BF$13)="",10^12,OFFSET(PLE!$G$14,$M41,BF$13))))</f>
        <v>0</v>
      </c>
      <c r="BG41" s="182">
        <f ca="1">IF($D41&lt;&gt;"Serviço",0,IF(OR(AND(AUTOEVENTO="Manual",$M41=1),$M41&gt;(ROW(PLE.lastrow)-ROW(PLE.firstrow))),0,IF(OFFSET(PLE!$G$14,$M41,BG$13)="",10^12,OFFSET(PLE!$G$14,$M41,BG$13))))</f>
        <v>0</v>
      </c>
    </row>
    <row r="42" spans="1:59" ht="25.5" x14ac:dyDescent="0.2">
      <c r="A42" s="7" t="str">
        <f t="shared" ca="1" si="8"/>
        <v>26</v>
      </c>
      <c r="B42" s="7" t="str">
        <f ca="1">OFFSET(ORÇAMENTO!C$15,ROW(B42)-ROW(B$15),0)</f>
        <v>S</v>
      </c>
      <c r="C42" s="7" t="str">
        <f ca="1">OFFSET(ORÇAMENTO!L$15,ROW(C42)-ROW(C$15),0)</f>
        <v>F</v>
      </c>
      <c r="D42" s="118" t="str">
        <f ca="1">OFFSET(ORÇAMENTO!N$15,ROW(D42)-ROW(D$15),0)</f>
        <v>Serviço</v>
      </c>
      <c r="E42" s="119" t="str">
        <f ca="1">OFFSET(ORÇAMENTO!O$15,ROW(E42)-ROW(E$15),0)</f>
        <v>3.1.1.</v>
      </c>
      <c r="F42" s="172" t="str">
        <f ca="1">OFFSET(ORÇAMENTO!R$15,ROW(F42)-ROW(F$15),0)</f>
        <v>CONCRETAGEM DE PILARES, FCK = 25 MPA, COM USO DE BOMBA - LANÇAMENTO, ADENSAMENTO E ACABAMENTO. AF_02/2022_PS</v>
      </c>
      <c r="G42" s="173" t="str">
        <f ca="1">IF($D42&lt;&gt;"Serviço","",OFFSET(ORÇAMENTO!S$15,ROW(G42)-ROW(G$15),0))</f>
        <v>M3</v>
      </c>
      <c r="H42" s="124">
        <f ca="1">IF($D42&lt;&gt;"Serviço",0,IF(ACOMPANHAMENTO="BM",ROUND(OFFSET(ORÇAMENTO!AJ$15,ROW(H42)-ROW(H$15),0),15-13*ORÇAMENTO!$AF$7),SUMPRODUCT(($Q$12:$AA$12&lt;&gt;"")*ROUND($Q42:$AA42,15-13*ORÇAMENTO!$AF$7))))</f>
        <v>7.2</v>
      </c>
      <c r="I42" s="561"/>
      <c r="K42" s="174"/>
      <c r="L42" s="175" t="s">
        <v>255</v>
      </c>
      <c r="M42" s="176">
        <f ca="1">IF($D42&lt;&gt;"Serviço","",IF(AUTOEVENTO="manual",$A42,IF(ISERROR(MATCH($A42,$A$15:OFFSET($A42,-1,0),0)),MAX($M$15:OFFSET(M42,-1,0))+1,INDEX($M$15:OFFSET(M42,-1,0),MATCH($A42,$A$15:OFFSET($A42,-1,0),0)))))</f>
        <v>6</v>
      </c>
      <c r="N42" s="177" t="str">
        <f ca="1">IF($D42&lt;&gt;"Serviço","",IF(AUTOEVENTO="Manual",IF($A42=0,"&lt;-- defina o número do agrupador",OFFSET(EVENTOS!$D$14,$A42,0)),OFFSET($F$15,$A42,0)))</f>
        <v xml:space="preserve">PILARES </v>
      </c>
      <c r="O42" s="178"/>
      <c r="Q42" s="178"/>
      <c r="R42" s="179"/>
      <c r="S42" s="179"/>
      <c r="T42" s="179"/>
      <c r="U42" s="179"/>
      <c r="V42" s="179"/>
      <c r="W42" s="179"/>
      <c r="X42" s="179"/>
      <c r="Y42" s="179"/>
      <c r="Z42" s="180"/>
      <c r="AB42" s="544">
        <f ca="1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545">
        <f ca="1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545">
        <f ca="1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545">
        <f ca="1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545">
        <f ca="1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545">
        <f ca="1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545">
        <f ca="1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545">
        <f ca="1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545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546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181">
        <f ca="1">IF($D42&lt;&gt;"Serviço",0,IF(AND(AUTOEVENTO="Manual",$M42=1),0,IF(OFFSET(CRONOPLE!$F$14,$M42,AM$13)="",10^12,OFFSET(CRONOPLE!$F$14,$M42,AM$13))))</f>
        <v>1000000000000</v>
      </c>
      <c r="AN42" s="181">
        <f ca="1">IF($D42&lt;&gt;"Serviço",0,IF(AND(AUTOEVENTO="Manual",$M42=1),0,IF(OFFSET(CRONOPLE!$F$14,$M42,AN$13)="",10^12,OFFSET(CRONOPLE!$F$14,$M42,AN$13))))</f>
        <v>1000000000000</v>
      </c>
      <c r="AO42" s="181">
        <f ca="1">IF($D42&lt;&gt;"Serviço",0,IF(AND(AUTOEVENTO="Manual",$M42=1),0,IF(OFFSET(CRONOPLE!$F$14,$M42,AO$13)="",10^12,OFFSET(CRONOPLE!$F$14,$M42,AO$13))))</f>
        <v>1000000000000</v>
      </c>
      <c r="AP42" s="181">
        <f ca="1">IF($D42&lt;&gt;"Serviço",0,IF(AND(AUTOEVENTO="Manual",$M42=1),0,IF(OFFSET(CRONOPLE!$F$14,$M42,AP$13)="",10^12,OFFSET(CRONOPLE!$F$14,$M42,AP$13))))</f>
        <v>1000000000000</v>
      </c>
      <c r="AQ42" s="181">
        <f ca="1">IF($D42&lt;&gt;"Serviço",0,IF(AND(AUTOEVENTO="Manual",$M42=1),0,IF(OFFSET(CRONOPLE!$F$14,$M42,AQ$13)="",10^12,OFFSET(CRONOPLE!$F$14,$M42,AQ$13))))</f>
        <v>1000000000000</v>
      </c>
      <c r="AR42" s="181">
        <f ca="1">IF($D42&lt;&gt;"Serviço",0,IF(AND(AUTOEVENTO="Manual",$M42=1),0,IF(OFFSET(CRONOPLE!$F$14,$M42,AR$13)="",10^12,OFFSET(CRONOPLE!$F$14,$M42,AR$13))))</f>
        <v>1000000000000</v>
      </c>
      <c r="AS42" s="181">
        <f ca="1">IF($D42&lt;&gt;"Serviço",0,IF(AND(AUTOEVENTO="Manual",$M42=1),0,IF(OFFSET(CRONOPLE!$F$14,$M42,AS$13)="",10^12,OFFSET(CRONOPLE!$F$14,$M42,AS$13))))</f>
        <v>1000000000000</v>
      </c>
      <c r="AT42" s="181">
        <f ca="1">IF($D42&lt;&gt;"Serviço",0,IF(AND(AUTOEVENTO="Manual",$M42=1),0,IF(OFFSET(CRONOPLE!$F$14,$M42,AT$13)="",10^12,OFFSET(CRONOPLE!$F$14,$M42,AT$13))))</f>
        <v>1000000000000</v>
      </c>
      <c r="AU42" s="181">
        <f ca="1">IF($D42&lt;&gt;"Serviço",0,IF(AND(AUTOEVENTO="Manual",$M42=1),0,IF(OFFSET(CRONOPLE!$F$14,$M42,AU$13)="",10^12,OFFSET(CRONOPLE!$F$14,$M42,AU$13))))</f>
        <v>1000000000000</v>
      </c>
      <c r="AV42" s="181">
        <f ca="1">IF($D42&lt;&gt;"Serviço",0,IF(AND(AUTOEVENTO="Manual",$M42=1),0,IF(OFFSET(CRONOPLE!$F$14,$M42,AV$13)="",10^12,OFFSET(CRONOPLE!$F$14,$M42,AV$13))))</f>
        <v>1000000000000</v>
      </c>
      <c r="AX42" s="182">
        <f ca="1">IF($D42&lt;&gt;"Serviço",0,IF(OR(AND(AUTOEVENTO="Manual",$M42=1),$M42&gt;(ROW(PLE.lastrow)-ROW(PLE.firstrow))),0,IF(OFFSET(PLE!$G$14,$M42,AX$13)="",10^12,OFFSET(PLE!$G$14,$M42,AX$13))))</f>
        <v>1000000000000</v>
      </c>
      <c r="AY42" s="182">
        <f ca="1">IF($D42&lt;&gt;"Serviço",0,IF(OR(AND(AUTOEVENTO="Manual",$M42=1),$M42&gt;(ROW(PLE.lastrow)-ROW(PLE.firstrow))),0,IF(OFFSET(PLE!$G$14,$M42,AY$13)="",10^12,OFFSET(PLE!$G$14,$M42,AY$13))))</f>
        <v>1000000000000</v>
      </c>
      <c r="AZ42" s="182">
        <f ca="1">IF($D42&lt;&gt;"Serviço",0,IF(OR(AND(AUTOEVENTO="Manual",$M42=1),$M42&gt;(ROW(PLE.lastrow)-ROW(PLE.firstrow))),0,IF(OFFSET(PLE!$G$14,$M42,AZ$13)="",10^12,OFFSET(PLE!$G$14,$M42,AZ$13))))</f>
        <v>1000000000000</v>
      </c>
      <c r="BA42" s="182">
        <f ca="1">IF($D42&lt;&gt;"Serviço",0,IF(OR(AND(AUTOEVENTO="Manual",$M42=1),$M42&gt;(ROW(PLE.lastrow)-ROW(PLE.firstrow))),0,IF(OFFSET(PLE!$G$14,$M42,BA$13)="",10^12,OFFSET(PLE!$G$14,$M42,BA$13))))</f>
        <v>1000000000000</v>
      </c>
      <c r="BB42" s="182">
        <f ca="1">IF($D42&lt;&gt;"Serviço",0,IF(OR(AND(AUTOEVENTO="Manual",$M42=1),$M42&gt;(ROW(PLE.lastrow)-ROW(PLE.firstrow))),0,IF(OFFSET(PLE!$G$14,$M42,BB$13)="",10^12,OFFSET(PLE!$G$14,$M42,BB$13))))</f>
        <v>1000000000000</v>
      </c>
      <c r="BC42" s="182">
        <f ca="1">IF($D42&lt;&gt;"Serviço",0,IF(OR(AND(AUTOEVENTO="Manual",$M42=1),$M42&gt;(ROW(PLE.lastrow)-ROW(PLE.firstrow))),0,IF(OFFSET(PLE!$G$14,$M42,BC$13)="",10^12,OFFSET(PLE!$G$14,$M42,BC$13))))</f>
        <v>1000000000000</v>
      </c>
      <c r="BD42" s="182">
        <f ca="1">IF($D42&lt;&gt;"Serviço",0,IF(OR(AND(AUTOEVENTO="Manual",$M42=1),$M42&gt;(ROW(PLE.lastrow)-ROW(PLE.firstrow))),0,IF(OFFSET(PLE!$G$14,$M42,BD$13)="",10^12,OFFSET(PLE!$G$14,$M42,BD$13))))</f>
        <v>1000000000000</v>
      </c>
      <c r="BE42" s="182">
        <f ca="1">IF($D42&lt;&gt;"Serviço",0,IF(OR(AND(AUTOEVENTO="Manual",$M42=1),$M42&gt;(ROW(PLE.lastrow)-ROW(PLE.firstrow))),0,IF(OFFSET(PLE!$G$14,$M42,BE$13)="",10^12,OFFSET(PLE!$G$14,$M42,BE$13))))</f>
        <v>1000000000000</v>
      </c>
      <c r="BF42" s="182">
        <f ca="1">IF($D42&lt;&gt;"Serviço",0,IF(OR(AND(AUTOEVENTO="Manual",$M42=1),$M42&gt;(ROW(PLE.lastrow)-ROW(PLE.firstrow))),0,IF(OFFSET(PLE!$G$14,$M42,BF$13)="",10^12,OFFSET(PLE!$G$14,$M42,BF$13))))</f>
        <v>1000000000000</v>
      </c>
      <c r="BG42" s="182">
        <f ca="1">IF($D42&lt;&gt;"Serviço",0,IF(OR(AND(AUTOEVENTO="Manual",$M42=1),$M42&gt;(ROW(PLE.lastrow)-ROW(PLE.firstrow))),0,IF(OFFSET(PLE!$G$14,$M42,BG$13)="",10^12,OFFSET(PLE!$G$14,$M42,BG$13))))</f>
        <v>1000000000000</v>
      </c>
    </row>
    <row r="43" spans="1:59" ht="38.25" x14ac:dyDescent="0.2">
      <c r="A43" s="7" t="str">
        <f t="shared" ca="1" si="8"/>
        <v>26</v>
      </c>
      <c r="B43" s="7" t="str">
        <f ca="1">OFFSET(ORÇAMENTO!C$15,ROW(B43)-ROW(B$15),0)</f>
        <v>S</v>
      </c>
      <c r="C43" s="7" t="str">
        <f ca="1">OFFSET(ORÇAMENTO!L$15,ROW(C43)-ROW(C$15),0)</f>
        <v>F</v>
      </c>
      <c r="D43" s="118" t="str">
        <f ca="1">OFFSET(ORÇAMENTO!N$15,ROW(D43)-ROW(D$15),0)</f>
        <v>Serviço</v>
      </c>
      <c r="E43" s="119" t="str">
        <f ca="1">OFFSET(ORÇAMENTO!O$15,ROW(E43)-ROW(E$15),0)</f>
        <v>3.1.2.</v>
      </c>
      <c r="F43" s="172" t="str">
        <f ca="1">OFFSET(ORÇAMENTO!R$15,ROW(F43)-ROW(F$15),0)</f>
        <v>ARMAÇÃO DE PILAR OU VIGA DE ESTRUTURA CONVENCIONAL DE CONCRETO ARMADO UTILIZANDO AÇO CA-50 DE 10,0 MM - MONTAGEM. AF_06/2022</v>
      </c>
      <c r="G43" s="173" t="str">
        <f ca="1">IF($D43&lt;&gt;"Serviço","",OFFSET(ORÇAMENTO!S$15,ROW(G43)-ROW(G$15),0))</f>
        <v>KG</v>
      </c>
      <c r="H43" s="124">
        <f ca="1">IF($D43&lt;&gt;"Serviço",0,IF(ACOMPANHAMENTO="BM",ROUND(OFFSET(ORÇAMENTO!AJ$15,ROW(H43)-ROW(H$15),0),15-13*ORÇAMENTO!$AF$7),SUMPRODUCT(($Q$12:$AA$12&lt;&gt;"")*ROUND($Q43:$AA43,15-13*ORÇAMENTO!$AF$7))))</f>
        <v>296.2</v>
      </c>
      <c r="I43" s="561"/>
      <c r="K43" s="174"/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6</v>
      </c>
      <c r="N43" s="177" t="str">
        <f ca="1">IF($D43&lt;&gt;"Serviço","",IF(AUTOEVENTO="Manual",IF($A43=0,"&lt;-- defina o número do agrupador",OFFSET(EVENTOS!$D$14,$A43,0)),OFFSET($F$15,$A43,0)))</f>
        <v xml:space="preserve">PILARES </v>
      </c>
      <c r="O43" s="178"/>
      <c r="Q43" s="178"/>
      <c r="R43" s="179"/>
      <c r="S43" s="179"/>
      <c r="T43" s="179"/>
      <c r="U43" s="179"/>
      <c r="V43" s="179"/>
      <c r="W43" s="179"/>
      <c r="X43" s="179"/>
      <c r="Y43" s="179"/>
      <c r="Z43" s="180"/>
      <c r="AB43" s="544">
        <f ca="1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0</v>
      </c>
      <c r="AC43" s="545">
        <f ca="1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545">
        <f ca="1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545">
        <f ca="1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545">
        <f ca="1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545">
        <f ca="1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545">
        <f ca="1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545">
        <f ca="1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545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546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181">
        <f ca="1">IF($D43&lt;&gt;"Serviço",0,IF(AND(AUTOEVENTO="Manual",$M43=1),0,IF(OFFSET(CRONOPLE!$F$14,$M43,AM$13)="",10^12,OFFSET(CRONOPLE!$F$14,$M43,AM$13))))</f>
        <v>1000000000000</v>
      </c>
      <c r="AN43" s="181">
        <f ca="1">IF($D43&lt;&gt;"Serviço",0,IF(AND(AUTOEVENTO="Manual",$M43=1),0,IF(OFFSET(CRONOPLE!$F$14,$M43,AN$13)="",10^12,OFFSET(CRONOPLE!$F$14,$M43,AN$13))))</f>
        <v>1000000000000</v>
      </c>
      <c r="AO43" s="181">
        <f ca="1">IF($D43&lt;&gt;"Serviço",0,IF(AND(AUTOEVENTO="Manual",$M43=1),0,IF(OFFSET(CRONOPLE!$F$14,$M43,AO$13)="",10^12,OFFSET(CRONOPLE!$F$14,$M43,AO$13))))</f>
        <v>1000000000000</v>
      </c>
      <c r="AP43" s="181">
        <f ca="1">IF($D43&lt;&gt;"Serviço",0,IF(AND(AUTOEVENTO="Manual",$M43=1),0,IF(OFFSET(CRONOPLE!$F$14,$M43,AP$13)="",10^12,OFFSET(CRONOPLE!$F$14,$M43,AP$13))))</f>
        <v>1000000000000</v>
      </c>
      <c r="AQ43" s="181">
        <f ca="1">IF($D43&lt;&gt;"Serviço",0,IF(AND(AUTOEVENTO="Manual",$M43=1),0,IF(OFFSET(CRONOPLE!$F$14,$M43,AQ$13)="",10^12,OFFSET(CRONOPLE!$F$14,$M43,AQ$13))))</f>
        <v>1000000000000</v>
      </c>
      <c r="AR43" s="181">
        <f ca="1">IF($D43&lt;&gt;"Serviço",0,IF(AND(AUTOEVENTO="Manual",$M43=1),0,IF(OFFSET(CRONOPLE!$F$14,$M43,AR$13)="",10^12,OFFSET(CRONOPLE!$F$14,$M43,AR$13))))</f>
        <v>1000000000000</v>
      </c>
      <c r="AS43" s="181">
        <f ca="1">IF($D43&lt;&gt;"Serviço",0,IF(AND(AUTOEVENTO="Manual",$M43=1),0,IF(OFFSET(CRONOPLE!$F$14,$M43,AS$13)="",10^12,OFFSET(CRONOPLE!$F$14,$M43,AS$13))))</f>
        <v>1000000000000</v>
      </c>
      <c r="AT43" s="181">
        <f ca="1">IF($D43&lt;&gt;"Serviço",0,IF(AND(AUTOEVENTO="Manual",$M43=1),0,IF(OFFSET(CRONOPLE!$F$14,$M43,AT$13)="",10^12,OFFSET(CRONOPLE!$F$14,$M43,AT$13))))</f>
        <v>1000000000000</v>
      </c>
      <c r="AU43" s="181">
        <f ca="1">IF($D43&lt;&gt;"Serviço",0,IF(AND(AUTOEVENTO="Manual",$M43=1),0,IF(OFFSET(CRONOPLE!$F$14,$M43,AU$13)="",10^12,OFFSET(CRONOPLE!$F$14,$M43,AU$13))))</f>
        <v>1000000000000</v>
      </c>
      <c r="AV43" s="181">
        <f ca="1">IF($D43&lt;&gt;"Serviço",0,IF(AND(AUTOEVENTO="Manual",$M43=1),0,IF(OFFSET(CRONOPLE!$F$14,$M43,AV$13)="",10^12,OFFSET(CRONOPLE!$F$14,$M43,AV$13))))</f>
        <v>1000000000000</v>
      </c>
      <c r="AX43" s="182">
        <f ca="1">IF($D43&lt;&gt;"Serviço",0,IF(OR(AND(AUTOEVENTO="Manual",$M43=1),$M43&gt;(ROW(PLE.lastrow)-ROW(PLE.firstrow))),0,IF(OFFSET(PLE!$G$14,$M43,AX$13)="",10^12,OFFSET(PLE!$G$14,$M43,AX$13))))</f>
        <v>1000000000000</v>
      </c>
      <c r="AY43" s="182">
        <f ca="1">IF($D43&lt;&gt;"Serviço",0,IF(OR(AND(AUTOEVENTO="Manual",$M43=1),$M43&gt;(ROW(PLE.lastrow)-ROW(PLE.firstrow))),0,IF(OFFSET(PLE!$G$14,$M43,AY$13)="",10^12,OFFSET(PLE!$G$14,$M43,AY$13))))</f>
        <v>1000000000000</v>
      </c>
      <c r="AZ43" s="182">
        <f ca="1">IF($D43&lt;&gt;"Serviço",0,IF(OR(AND(AUTOEVENTO="Manual",$M43=1),$M43&gt;(ROW(PLE.lastrow)-ROW(PLE.firstrow))),0,IF(OFFSET(PLE!$G$14,$M43,AZ$13)="",10^12,OFFSET(PLE!$G$14,$M43,AZ$13))))</f>
        <v>1000000000000</v>
      </c>
      <c r="BA43" s="182">
        <f ca="1">IF($D43&lt;&gt;"Serviço",0,IF(OR(AND(AUTOEVENTO="Manual",$M43=1),$M43&gt;(ROW(PLE.lastrow)-ROW(PLE.firstrow))),0,IF(OFFSET(PLE!$G$14,$M43,BA$13)="",10^12,OFFSET(PLE!$G$14,$M43,BA$13))))</f>
        <v>1000000000000</v>
      </c>
      <c r="BB43" s="182">
        <f ca="1">IF($D43&lt;&gt;"Serviço",0,IF(OR(AND(AUTOEVENTO="Manual",$M43=1),$M43&gt;(ROW(PLE.lastrow)-ROW(PLE.firstrow))),0,IF(OFFSET(PLE!$G$14,$M43,BB$13)="",10^12,OFFSET(PLE!$G$14,$M43,BB$13))))</f>
        <v>1000000000000</v>
      </c>
      <c r="BC43" s="182">
        <f ca="1">IF($D43&lt;&gt;"Serviço",0,IF(OR(AND(AUTOEVENTO="Manual",$M43=1),$M43&gt;(ROW(PLE.lastrow)-ROW(PLE.firstrow))),0,IF(OFFSET(PLE!$G$14,$M43,BC$13)="",10^12,OFFSET(PLE!$G$14,$M43,BC$13))))</f>
        <v>1000000000000</v>
      </c>
      <c r="BD43" s="182">
        <f ca="1">IF($D43&lt;&gt;"Serviço",0,IF(OR(AND(AUTOEVENTO="Manual",$M43=1),$M43&gt;(ROW(PLE.lastrow)-ROW(PLE.firstrow))),0,IF(OFFSET(PLE!$G$14,$M43,BD$13)="",10^12,OFFSET(PLE!$G$14,$M43,BD$13))))</f>
        <v>1000000000000</v>
      </c>
      <c r="BE43" s="182">
        <f ca="1">IF($D43&lt;&gt;"Serviço",0,IF(OR(AND(AUTOEVENTO="Manual",$M43=1),$M43&gt;(ROW(PLE.lastrow)-ROW(PLE.firstrow))),0,IF(OFFSET(PLE!$G$14,$M43,BE$13)="",10^12,OFFSET(PLE!$G$14,$M43,BE$13))))</f>
        <v>1000000000000</v>
      </c>
      <c r="BF43" s="182">
        <f ca="1">IF($D43&lt;&gt;"Serviço",0,IF(OR(AND(AUTOEVENTO="Manual",$M43=1),$M43&gt;(ROW(PLE.lastrow)-ROW(PLE.firstrow))),0,IF(OFFSET(PLE!$G$14,$M43,BF$13)="",10^12,OFFSET(PLE!$G$14,$M43,BF$13))))</f>
        <v>1000000000000</v>
      </c>
      <c r="BG43" s="18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25.5" x14ac:dyDescent="0.2">
      <c r="A44" s="7" t="str">
        <f t="shared" ca="1" si="8"/>
        <v>26</v>
      </c>
      <c r="B44" s="7" t="str">
        <f ca="1">OFFSET(ORÇAMENTO!C$15,ROW(B44)-ROW(B$15),0)</f>
        <v>S</v>
      </c>
      <c r="C44" s="7" t="str">
        <f ca="1">OFFSET(ORÇAMENTO!L$15,ROW(C44)-ROW(C$15),0)</f>
        <v>F</v>
      </c>
      <c r="D44" s="118" t="str">
        <f ca="1">OFFSET(ORÇAMENTO!N$15,ROW(D44)-ROW(D$15),0)</f>
        <v>Serviço</v>
      </c>
      <c r="E44" s="119" t="str">
        <f ca="1">OFFSET(ORÇAMENTO!O$15,ROW(E44)-ROW(E$15),0)</f>
        <v>3.1.3.</v>
      </c>
      <c r="F44" s="172" t="str">
        <f ca="1">OFFSET(ORÇAMENTO!R$15,ROW(F44)-ROW(F$15),0)</f>
        <v>ARMAÇÃO DE BLOCO UTILIZANDO AÇO CA-60 DE 5 MM - MONTAGEM. AF_01/2024</v>
      </c>
      <c r="G44" s="173" t="str">
        <f ca="1">IF($D44&lt;&gt;"Serviço","",OFFSET(ORÇAMENTO!S$15,ROW(G44)-ROW(G$15),0))</f>
        <v>KG</v>
      </c>
      <c r="H44" s="124">
        <f ca="1">IF($D44&lt;&gt;"Serviço",0,IF(ACOMPANHAMENTO="BM",ROUND(OFFSET(ORÇAMENTO!AJ$15,ROW(H44)-ROW(H$15),0),15-13*ORÇAMENTO!$AF$7),SUMPRODUCT(($Q$12:$AA$12&lt;&gt;"")*ROUND($Q44:$AA44,15-13*ORÇAMENTO!$AF$7))))</f>
        <v>177.9</v>
      </c>
      <c r="I44" s="561"/>
      <c r="K44" s="174"/>
      <c r="L44" s="175" t="s">
        <v>255</v>
      </c>
      <c r="M44" s="176">
        <f ca="1">IF($D44&lt;&gt;"Serviço","",IF(AUTOEVENTO="manual",$A44,IF(ISERROR(MATCH($A44,$A$15:OFFSET($A44,-1,0),0)),MAX($M$15:OFFSET(M44,-1,0))+1,INDEX($M$15:OFFSET(M44,-1,0),MATCH($A44,$A$15:OFFSET($A44,-1,0),0)))))</f>
        <v>6</v>
      </c>
      <c r="N44" s="177" t="str">
        <f ca="1">IF($D44&lt;&gt;"Serviço","",IF(AUTOEVENTO="Manual",IF($A44=0,"&lt;-- defina o número do agrupador",OFFSET(EVENTOS!$D$14,$A44,0)),OFFSET($F$15,$A44,0)))</f>
        <v xml:space="preserve">PILARES </v>
      </c>
      <c r="O44" s="178"/>
      <c r="Q44" s="178"/>
      <c r="R44" s="179"/>
      <c r="S44" s="179"/>
      <c r="T44" s="179"/>
      <c r="U44" s="179"/>
      <c r="V44" s="179"/>
      <c r="W44" s="179"/>
      <c r="X44" s="179"/>
      <c r="Y44" s="179"/>
      <c r="Z44" s="180"/>
      <c r="AB44" s="544">
        <f ca="1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0</v>
      </c>
      <c r="AC44" s="545">
        <f ca="1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545">
        <f ca="1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545">
        <f ca="1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545">
        <f ca="1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545">
        <f ca="1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545">
        <f ca="1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545">
        <f ca="1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545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546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181">
        <f ca="1">IF($D44&lt;&gt;"Serviço",0,IF(AND(AUTOEVENTO="Manual",$M44=1),0,IF(OFFSET(CRONOPLE!$F$14,$M44,AM$13)="",10^12,OFFSET(CRONOPLE!$F$14,$M44,AM$13))))</f>
        <v>1000000000000</v>
      </c>
      <c r="AN44" s="181">
        <f ca="1">IF($D44&lt;&gt;"Serviço",0,IF(AND(AUTOEVENTO="Manual",$M44=1),0,IF(OFFSET(CRONOPLE!$F$14,$M44,AN$13)="",10^12,OFFSET(CRONOPLE!$F$14,$M44,AN$13))))</f>
        <v>1000000000000</v>
      </c>
      <c r="AO44" s="181">
        <f ca="1">IF($D44&lt;&gt;"Serviço",0,IF(AND(AUTOEVENTO="Manual",$M44=1),0,IF(OFFSET(CRONOPLE!$F$14,$M44,AO$13)="",10^12,OFFSET(CRONOPLE!$F$14,$M44,AO$13))))</f>
        <v>1000000000000</v>
      </c>
      <c r="AP44" s="181">
        <f ca="1">IF($D44&lt;&gt;"Serviço",0,IF(AND(AUTOEVENTO="Manual",$M44=1),0,IF(OFFSET(CRONOPLE!$F$14,$M44,AP$13)="",10^12,OFFSET(CRONOPLE!$F$14,$M44,AP$13))))</f>
        <v>1000000000000</v>
      </c>
      <c r="AQ44" s="181">
        <f ca="1">IF($D44&lt;&gt;"Serviço",0,IF(AND(AUTOEVENTO="Manual",$M44=1),0,IF(OFFSET(CRONOPLE!$F$14,$M44,AQ$13)="",10^12,OFFSET(CRONOPLE!$F$14,$M44,AQ$13))))</f>
        <v>1000000000000</v>
      </c>
      <c r="AR44" s="181">
        <f ca="1">IF($D44&lt;&gt;"Serviço",0,IF(AND(AUTOEVENTO="Manual",$M44=1),0,IF(OFFSET(CRONOPLE!$F$14,$M44,AR$13)="",10^12,OFFSET(CRONOPLE!$F$14,$M44,AR$13))))</f>
        <v>1000000000000</v>
      </c>
      <c r="AS44" s="181">
        <f ca="1">IF($D44&lt;&gt;"Serviço",0,IF(AND(AUTOEVENTO="Manual",$M44=1),0,IF(OFFSET(CRONOPLE!$F$14,$M44,AS$13)="",10^12,OFFSET(CRONOPLE!$F$14,$M44,AS$13))))</f>
        <v>1000000000000</v>
      </c>
      <c r="AT44" s="181">
        <f ca="1">IF($D44&lt;&gt;"Serviço",0,IF(AND(AUTOEVENTO="Manual",$M44=1),0,IF(OFFSET(CRONOPLE!$F$14,$M44,AT$13)="",10^12,OFFSET(CRONOPLE!$F$14,$M44,AT$13))))</f>
        <v>1000000000000</v>
      </c>
      <c r="AU44" s="181">
        <f ca="1">IF($D44&lt;&gt;"Serviço",0,IF(AND(AUTOEVENTO="Manual",$M44=1),0,IF(OFFSET(CRONOPLE!$F$14,$M44,AU$13)="",10^12,OFFSET(CRONOPLE!$F$14,$M44,AU$13))))</f>
        <v>1000000000000</v>
      </c>
      <c r="AV44" s="181">
        <f ca="1">IF($D44&lt;&gt;"Serviço",0,IF(AND(AUTOEVENTO="Manual",$M44=1),0,IF(OFFSET(CRONOPLE!$F$14,$M44,AV$13)="",10^12,OFFSET(CRONOPLE!$F$14,$M44,AV$13))))</f>
        <v>1000000000000</v>
      </c>
      <c r="AX44" s="182">
        <f ca="1">IF($D44&lt;&gt;"Serviço",0,IF(OR(AND(AUTOEVENTO="Manual",$M44=1),$M44&gt;(ROW(PLE.lastrow)-ROW(PLE.firstrow))),0,IF(OFFSET(PLE!$G$14,$M44,AX$13)="",10^12,OFFSET(PLE!$G$14,$M44,AX$13))))</f>
        <v>1000000000000</v>
      </c>
      <c r="AY44" s="182">
        <f ca="1">IF($D44&lt;&gt;"Serviço",0,IF(OR(AND(AUTOEVENTO="Manual",$M44=1),$M44&gt;(ROW(PLE.lastrow)-ROW(PLE.firstrow))),0,IF(OFFSET(PLE!$G$14,$M44,AY$13)="",10^12,OFFSET(PLE!$G$14,$M44,AY$13))))</f>
        <v>1000000000000</v>
      </c>
      <c r="AZ44" s="182">
        <f ca="1">IF($D44&lt;&gt;"Serviço",0,IF(OR(AND(AUTOEVENTO="Manual",$M44=1),$M44&gt;(ROW(PLE.lastrow)-ROW(PLE.firstrow))),0,IF(OFFSET(PLE!$G$14,$M44,AZ$13)="",10^12,OFFSET(PLE!$G$14,$M44,AZ$13))))</f>
        <v>1000000000000</v>
      </c>
      <c r="BA44" s="182">
        <f ca="1">IF($D44&lt;&gt;"Serviço",0,IF(OR(AND(AUTOEVENTO="Manual",$M44=1),$M44&gt;(ROW(PLE.lastrow)-ROW(PLE.firstrow))),0,IF(OFFSET(PLE!$G$14,$M44,BA$13)="",10^12,OFFSET(PLE!$G$14,$M44,BA$13))))</f>
        <v>1000000000000</v>
      </c>
      <c r="BB44" s="182">
        <f ca="1">IF($D44&lt;&gt;"Serviço",0,IF(OR(AND(AUTOEVENTO="Manual",$M44=1),$M44&gt;(ROW(PLE.lastrow)-ROW(PLE.firstrow))),0,IF(OFFSET(PLE!$G$14,$M44,BB$13)="",10^12,OFFSET(PLE!$G$14,$M44,BB$13))))</f>
        <v>1000000000000</v>
      </c>
      <c r="BC44" s="182">
        <f ca="1">IF($D44&lt;&gt;"Serviço",0,IF(OR(AND(AUTOEVENTO="Manual",$M44=1),$M44&gt;(ROW(PLE.lastrow)-ROW(PLE.firstrow))),0,IF(OFFSET(PLE!$G$14,$M44,BC$13)="",10^12,OFFSET(PLE!$G$14,$M44,BC$13))))</f>
        <v>1000000000000</v>
      </c>
      <c r="BD44" s="182">
        <f ca="1">IF($D44&lt;&gt;"Serviço",0,IF(OR(AND(AUTOEVENTO="Manual",$M44=1),$M44&gt;(ROW(PLE.lastrow)-ROW(PLE.firstrow))),0,IF(OFFSET(PLE!$G$14,$M44,BD$13)="",10^12,OFFSET(PLE!$G$14,$M44,BD$13))))</f>
        <v>1000000000000</v>
      </c>
      <c r="BE44" s="182">
        <f ca="1">IF($D44&lt;&gt;"Serviço",0,IF(OR(AND(AUTOEVENTO="Manual",$M44=1),$M44&gt;(ROW(PLE.lastrow)-ROW(PLE.firstrow))),0,IF(OFFSET(PLE!$G$14,$M44,BE$13)="",10^12,OFFSET(PLE!$G$14,$M44,BE$13))))</f>
        <v>1000000000000</v>
      </c>
      <c r="BF44" s="182">
        <f ca="1">IF($D44&lt;&gt;"Serviço",0,IF(OR(AND(AUTOEVENTO="Manual",$M44=1),$M44&gt;(ROW(PLE.lastrow)-ROW(PLE.firstrow))),0,IF(OFFSET(PLE!$G$14,$M44,BF$13)="",10^12,OFFSET(PLE!$G$14,$M44,BF$13))))</f>
        <v>1000000000000</v>
      </c>
      <c r="BG44" s="182">
        <f ca="1">IF($D44&lt;&gt;"Serviço",0,IF(OR(AND(AUTOEVENTO="Manual",$M44=1),$M44&gt;(ROW(PLE.lastrow)-ROW(PLE.firstrow))),0,IF(OFFSET(PLE!$G$14,$M44,BG$13)="",10^12,OFFSET(PLE!$G$14,$M44,BG$13))))</f>
        <v>1000000000000</v>
      </c>
    </row>
    <row r="45" spans="1:59" ht="38.25" x14ac:dyDescent="0.2">
      <c r="A45" s="7" t="str">
        <f t="shared" ca="1" si="8"/>
        <v>26</v>
      </c>
      <c r="B45" s="7" t="str">
        <f ca="1">OFFSET(ORÇAMENTO!C$15,ROW(B45)-ROW(B$15),0)</f>
        <v>S</v>
      </c>
      <c r="C45" s="7" t="str">
        <f ca="1">OFFSET(ORÇAMENTO!L$15,ROW(C45)-ROW(C$15),0)</f>
        <v>F</v>
      </c>
      <c r="D45" s="118" t="str">
        <f ca="1">OFFSET(ORÇAMENTO!N$15,ROW(D45)-ROW(D$15),0)</f>
        <v>Serviço</v>
      </c>
      <c r="E45" s="119" t="str">
        <f ca="1">OFFSET(ORÇAMENTO!O$15,ROW(E45)-ROW(E$15),0)</f>
        <v>3.1.4.</v>
      </c>
      <c r="F45" s="172" t="str">
        <f ca="1">OFFSET(ORÇAMENTO!R$15,ROW(F45)-ROW(F$15),0)</f>
        <v>CHAPA/PAINEL DE MADEIRA COMPENSADA PLASTIFICADA (MADEIRITE PLASTIFICADO) PARA FORMA DE CONCRETO, DE 2200 X 1100 MM, E = 6 MM</v>
      </c>
      <c r="G45" s="173" t="str">
        <f ca="1">IF($D45&lt;&gt;"Serviço","",OFFSET(ORÇAMENTO!S$15,ROW(G45)-ROW(G$15),0))</f>
        <v>M2</v>
      </c>
      <c r="H45" s="124">
        <f ca="1">IF($D45&lt;&gt;"Serviço",0,IF(ACOMPANHAMENTO="BM",ROUND(OFFSET(ORÇAMENTO!AJ$15,ROW(H45)-ROW(H$15),0),15-13*ORÇAMENTO!$AF$7),SUMPRODUCT(($Q$12:$AA$12&lt;&gt;"")*ROUND($Q45:$AA45,15-13*ORÇAMENTO!$AF$7))))</f>
        <v>16.100000000000001</v>
      </c>
      <c r="I45" s="561"/>
      <c r="K45" s="174"/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6</v>
      </c>
      <c r="N45" s="177" t="str">
        <f ca="1">IF($D45&lt;&gt;"Serviço","",IF(AUTOEVENTO="Manual",IF($A45=0,"&lt;-- defina o número do agrupador",OFFSET(EVENTOS!$D$14,$A45,0)),OFFSET($F$15,$A45,0)))</f>
        <v xml:space="preserve">PILARES </v>
      </c>
      <c r="O45" s="178"/>
      <c r="Q45" s="178"/>
      <c r="R45" s="179"/>
      <c r="S45" s="179"/>
      <c r="T45" s="179"/>
      <c r="U45" s="179"/>
      <c r="V45" s="179"/>
      <c r="W45" s="179"/>
      <c r="X45" s="179"/>
      <c r="Y45" s="179"/>
      <c r="Z45" s="180"/>
      <c r="AB45" s="544">
        <f ca="1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0</v>
      </c>
      <c r="AC45" s="545">
        <f ca="1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545">
        <f ca="1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545">
        <f ca="1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545">
        <f ca="1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545">
        <f ca="1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545">
        <f ca="1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545">
        <f ca="1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545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546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181">
        <f ca="1">IF($D45&lt;&gt;"Serviço",0,IF(AND(AUTOEVENTO="Manual",$M45=1),0,IF(OFFSET(CRONOPLE!$F$14,$M45,AM$13)="",10^12,OFFSET(CRONOPLE!$F$14,$M45,AM$13))))</f>
        <v>1000000000000</v>
      </c>
      <c r="AN45" s="181">
        <f ca="1">IF($D45&lt;&gt;"Serviço",0,IF(AND(AUTOEVENTO="Manual",$M45=1),0,IF(OFFSET(CRONOPLE!$F$14,$M45,AN$13)="",10^12,OFFSET(CRONOPLE!$F$14,$M45,AN$13))))</f>
        <v>1000000000000</v>
      </c>
      <c r="AO45" s="181">
        <f ca="1">IF($D45&lt;&gt;"Serviço",0,IF(AND(AUTOEVENTO="Manual",$M45=1),0,IF(OFFSET(CRONOPLE!$F$14,$M45,AO$13)="",10^12,OFFSET(CRONOPLE!$F$14,$M45,AO$13))))</f>
        <v>1000000000000</v>
      </c>
      <c r="AP45" s="181">
        <f ca="1">IF($D45&lt;&gt;"Serviço",0,IF(AND(AUTOEVENTO="Manual",$M45=1),0,IF(OFFSET(CRONOPLE!$F$14,$M45,AP$13)="",10^12,OFFSET(CRONOPLE!$F$14,$M45,AP$13))))</f>
        <v>1000000000000</v>
      </c>
      <c r="AQ45" s="181">
        <f ca="1">IF($D45&lt;&gt;"Serviço",0,IF(AND(AUTOEVENTO="Manual",$M45=1),0,IF(OFFSET(CRONOPLE!$F$14,$M45,AQ$13)="",10^12,OFFSET(CRONOPLE!$F$14,$M45,AQ$13))))</f>
        <v>1000000000000</v>
      </c>
      <c r="AR45" s="181">
        <f ca="1">IF($D45&lt;&gt;"Serviço",0,IF(AND(AUTOEVENTO="Manual",$M45=1),0,IF(OFFSET(CRONOPLE!$F$14,$M45,AR$13)="",10^12,OFFSET(CRONOPLE!$F$14,$M45,AR$13))))</f>
        <v>1000000000000</v>
      </c>
      <c r="AS45" s="181">
        <f ca="1">IF($D45&lt;&gt;"Serviço",0,IF(AND(AUTOEVENTO="Manual",$M45=1),0,IF(OFFSET(CRONOPLE!$F$14,$M45,AS$13)="",10^12,OFFSET(CRONOPLE!$F$14,$M45,AS$13))))</f>
        <v>1000000000000</v>
      </c>
      <c r="AT45" s="181">
        <f ca="1">IF($D45&lt;&gt;"Serviço",0,IF(AND(AUTOEVENTO="Manual",$M45=1),0,IF(OFFSET(CRONOPLE!$F$14,$M45,AT$13)="",10^12,OFFSET(CRONOPLE!$F$14,$M45,AT$13))))</f>
        <v>1000000000000</v>
      </c>
      <c r="AU45" s="181">
        <f ca="1">IF($D45&lt;&gt;"Serviço",0,IF(AND(AUTOEVENTO="Manual",$M45=1),0,IF(OFFSET(CRONOPLE!$F$14,$M45,AU$13)="",10^12,OFFSET(CRONOPLE!$F$14,$M45,AU$13))))</f>
        <v>1000000000000</v>
      </c>
      <c r="AV45" s="181">
        <f ca="1">IF($D45&lt;&gt;"Serviço",0,IF(AND(AUTOEVENTO="Manual",$M45=1),0,IF(OFFSET(CRONOPLE!$F$14,$M45,AV$13)="",10^12,OFFSET(CRONOPLE!$F$14,$M45,AV$13))))</f>
        <v>1000000000000</v>
      </c>
      <c r="AX45" s="182">
        <f ca="1">IF($D45&lt;&gt;"Serviço",0,IF(OR(AND(AUTOEVENTO="Manual",$M45=1),$M45&gt;(ROW(PLE.lastrow)-ROW(PLE.firstrow))),0,IF(OFFSET(PLE!$G$14,$M45,AX$13)="",10^12,OFFSET(PLE!$G$14,$M45,AX$13))))</f>
        <v>1000000000000</v>
      </c>
      <c r="AY45" s="182">
        <f ca="1">IF($D45&lt;&gt;"Serviço",0,IF(OR(AND(AUTOEVENTO="Manual",$M45=1),$M45&gt;(ROW(PLE.lastrow)-ROW(PLE.firstrow))),0,IF(OFFSET(PLE!$G$14,$M45,AY$13)="",10^12,OFFSET(PLE!$G$14,$M45,AY$13))))</f>
        <v>1000000000000</v>
      </c>
      <c r="AZ45" s="182">
        <f ca="1">IF($D45&lt;&gt;"Serviço",0,IF(OR(AND(AUTOEVENTO="Manual",$M45=1),$M45&gt;(ROW(PLE.lastrow)-ROW(PLE.firstrow))),0,IF(OFFSET(PLE!$G$14,$M45,AZ$13)="",10^12,OFFSET(PLE!$G$14,$M45,AZ$13))))</f>
        <v>1000000000000</v>
      </c>
      <c r="BA45" s="182">
        <f ca="1">IF($D45&lt;&gt;"Serviço",0,IF(OR(AND(AUTOEVENTO="Manual",$M45=1),$M45&gt;(ROW(PLE.lastrow)-ROW(PLE.firstrow))),0,IF(OFFSET(PLE!$G$14,$M45,BA$13)="",10^12,OFFSET(PLE!$G$14,$M45,BA$13))))</f>
        <v>1000000000000</v>
      </c>
      <c r="BB45" s="182">
        <f ca="1">IF($D45&lt;&gt;"Serviço",0,IF(OR(AND(AUTOEVENTO="Manual",$M45=1),$M45&gt;(ROW(PLE.lastrow)-ROW(PLE.firstrow))),0,IF(OFFSET(PLE!$G$14,$M45,BB$13)="",10^12,OFFSET(PLE!$G$14,$M45,BB$13))))</f>
        <v>1000000000000</v>
      </c>
      <c r="BC45" s="182">
        <f ca="1">IF($D45&lt;&gt;"Serviço",0,IF(OR(AND(AUTOEVENTO="Manual",$M45=1),$M45&gt;(ROW(PLE.lastrow)-ROW(PLE.firstrow))),0,IF(OFFSET(PLE!$G$14,$M45,BC$13)="",10^12,OFFSET(PLE!$G$14,$M45,BC$13))))</f>
        <v>1000000000000</v>
      </c>
      <c r="BD45" s="182">
        <f ca="1">IF($D45&lt;&gt;"Serviço",0,IF(OR(AND(AUTOEVENTO="Manual",$M45=1),$M45&gt;(ROW(PLE.lastrow)-ROW(PLE.firstrow))),0,IF(OFFSET(PLE!$G$14,$M45,BD$13)="",10^12,OFFSET(PLE!$G$14,$M45,BD$13))))</f>
        <v>1000000000000</v>
      </c>
      <c r="BE45" s="182">
        <f ca="1">IF($D45&lt;&gt;"Serviço",0,IF(OR(AND(AUTOEVENTO="Manual",$M45=1),$M45&gt;(ROW(PLE.lastrow)-ROW(PLE.firstrow))),0,IF(OFFSET(PLE!$G$14,$M45,BE$13)="",10^12,OFFSET(PLE!$G$14,$M45,BE$13))))</f>
        <v>1000000000000</v>
      </c>
      <c r="BF45" s="182">
        <f ca="1">IF($D45&lt;&gt;"Serviço",0,IF(OR(AND(AUTOEVENTO="Manual",$M45=1),$M45&gt;(ROW(PLE.lastrow)-ROW(PLE.firstrow))),0,IF(OFFSET(PLE!$G$14,$M45,BF$13)="",10^12,OFFSET(PLE!$G$14,$M45,BF$13))))</f>
        <v>1000000000000</v>
      </c>
      <c r="BG45" s="18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12.75" x14ac:dyDescent="0.2">
      <c r="A46" s="7" t="str">
        <f t="shared" ca="1" si="8"/>
        <v>31.</v>
      </c>
      <c r="B46" s="7">
        <f ca="1">OFFSET(ORÇAMENTO!C$15,ROW(B46)-ROW(B$15),0)</f>
        <v>2</v>
      </c>
      <c r="C46" s="7" t="str">
        <f ca="1">OFFSET(ORÇAMENTO!L$15,ROW(C46)-ROW(C$15),0)</f>
        <v>F</v>
      </c>
      <c r="D46" s="118" t="str">
        <f ca="1">OFFSET(ORÇAMENTO!N$15,ROW(D46)-ROW(D$15),0)</f>
        <v>Nível 2</v>
      </c>
      <c r="E46" s="119" t="str">
        <f ca="1">OFFSET(ORÇAMENTO!O$15,ROW(E46)-ROW(E$15),0)</f>
        <v>3.2.</v>
      </c>
      <c r="F46" s="172" t="str">
        <f ca="1">OFFSET(ORÇAMENTO!R$15,ROW(F46)-ROW(F$15),0)</f>
        <v>VIGA CINTA</v>
      </c>
      <c r="G46" s="173" t="str">
        <f ca="1">IF($D46&lt;&gt;"Serviço","",OFFSET(ORÇAMENTO!S$15,ROW(G46)-ROW(G$15),0))</f>
        <v/>
      </c>
      <c r="H46" s="124">
        <f ca="1">IF($D46&lt;&gt;"Serviço",0,IF(ACOMPANHAMENTO="BM",ROUND(OFFSET(ORÇAMENTO!AJ$15,ROW(H46)-ROW(H$15),0),15-13*ORÇAMENTO!$AF$7),SUMPRODUCT(($Q$12:$AA$12&lt;&gt;"")*ROUND($Q46:$AA46,15-13*ORÇAMENTO!$AF$7))))</f>
        <v>0</v>
      </c>
      <c r="I46" s="561"/>
      <c r="K46" s="174"/>
      <c r="L46" s="175" t="s">
        <v>255</v>
      </c>
      <c r="M46" s="176" t="str">
        <f ca="1">IF($D46&lt;&gt;"Serviço","",IF(AUTOEVENTO="manual",$A46,IF(ISERROR(MATCH($A46,$A$15:OFFSET($A46,-1,0),0)),MAX($M$15:OFFSET(M46,-1,0))+1,INDEX($M$15:OFFSET(M46,-1,0),MATCH($A46,$A$15:OFFSET($A46,-1,0),0)))))</f>
        <v/>
      </c>
      <c r="N46" s="177" t="str">
        <f ca="1">IF($D46&lt;&gt;"Serviço","",IF(AUTOEVENTO="Manual",IF($A46=0,"&lt;-- defina o número do agrupador",OFFSET(EVENTOS!$D$14,$A46,0)),OFFSET($F$15,$A46,0)))</f>
        <v/>
      </c>
      <c r="O46" s="178"/>
      <c r="Q46" s="178"/>
      <c r="R46" s="179"/>
      <c r="S46" s="179"/>
      <c r="T46" s="179"/>
      <c r="U46" s="179"/>
      <c r="V46" s="179"/>
      <c r="W46" s="179"/>
      <c r="X46" s="179"/>
      <c r="Y46" s="179"/>
      <c r="Z46" s="180"/>
      <c r="AB46" s="544">
        <f ca="1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0</v>
      </c>
      <c r="AC46" s="545">
        <f ca="1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545">
        <f ca="1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545">
        <f ca="1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545">
        <f ca="1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545">
        <f ca="1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545">
        <f ca="1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545">
        <f ca="1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545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546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181">
        <f ca="1">IF($D46&lt;&gt;"Serviço",0,IF(AND(AUTOEVENTO="Manual",$M46=1),0,IF(OFFSET(CRONOPLE!$F$14,$M46,AM$13)="",10^12,OFFSET(CRONOPLE!$F$14,$M46,AM$13))))</f>
        <v>0</v>
      </c>
      <c r="AN46" s="181">
        <f ca="1">IF($D46&lt;&gt;"Serviço",0,IF(AND(AUTOEVENTO="Manual",$M46=1),0,IF(OFFSET(CRONOPLE!$F$14,$M46,AN$13)="",10^12,OFFSET(CRONOPLE!$F$14,$M46,AN$13))))</f>
        <v>0</v>
      </c>
      <c r="AO46" s="181">
        <f ca="1">IF($D46&lt;&gt;"Serviço",0,IF(AND(AUTOEVENTO="Manual",$M46=1),0,IF(OFFSET(CRONOPLE!$F$14,$M46,AO$13)="",10^12,OFFSET(CRONOPLE!$F$14,$M46,AO$13))))</f>
        <v>0</v>
      </c>
      <c r="AP46" s="181">
        <f ca="1">IF($D46&lt;&gt;"Serviço",0,IF(AND(AUTOEVENTO="Manual",$M46=1),0,IF(OFFSET(CRONOPLE!$F$14,$M46,AP$13)="",10^12,OFFSET(CRONOPLE!$F$14,$M46,AP$13))))</f>
        <v>0</v>
      </c>
      <c r="AQ46" s="181">
        <f ca="1">IF($D46&lt;&gt;"Serviço",0,IF(AND(AUTOEVENTO="Manual",$M46=1),0,IF(OFFSET(CRONOPLE!$F$14,$M46,AQ$13)="",10^12,OFFSET(CRONOPLE!$F$14,$M46,AQ$13))))</f>
        <v>0</v>
      </c>
      <c r="AR46" s="181">
        <f ca="1">IF($D46&lt;&gt;"Serviço",0,IF(AND(AUTOEVENTO="Manual",$M46=1),0,IF(OFFSET(CRONOPLE!$F$14,$M46,AR$13)="",10^12,OFFSET(CRONOPLE!$F$14,$M46,AR$13))))</f>
        <v>0</v>
      </c>
      <c r="AS46" s="181">
        <f ca="1">IF($D46&lt;&gt;"Serviço",0,IF(AND(AUTOEVENTO="Manual",$M46=1),0,IF(OFFSET(CRONOPLE!$F$14,$M46,AS$13)="",10^12,OFFSET(CRONOPLE!$F$14,$M46,AS$13))))</f>
        <v>0</v>
      </c>
      <c r="AT46" s="181">
        <f ca="1">IF($D46&lt;&gt;"Serviço",0,IF(AND(AUTOEVENTO="Manual",$M46=1),0,IF(OFFSET(CRONOPLE!$F$14,$M46,AT$13)="",10^12,OFFSET(CRONOPLE!$F$14,$M46,AT$13))))</f>
        <v>0</v>
      </c>
      <c r="AU46" s="181">
        <f ca="1">IF($D46&lt;&gt;"Serviço",0,IF(AND(AUTOEVENTO="Manual",$M46=1),0,IF(OFFSET(CRONOPLE!$F$14,$M46,AU$13)="",10^12,OFFSET(CRONOPLE!$F$14,$M46,AU$13))))</f>
        <v>0</v>
      </c>
      <c r="AV46" s="181">
        <f ca="1">IF($D46&lt;&gt;"Serviço",0,IF(AND(AUTOEVENTO="Manual",$M46=1),0,IF(OFFSET(CRONOPLE!$F$14,$M46,AV$13)="",10^12,OFFSET(CRONOPLE!$F$14,$M46,AV$13))))</f>
        <v>0</v>
      </c>
      <c r="AX46" s="182">
        <f ca="1">IF($D46&lt;&gt;"Serviço",0,IF(OR(AND(AUTOEVENTO="Manual",$M46=1),$M46&gt;(ROW(PLE.lastrow)-ROW(PLE.firstrow))),0,IF(OFFSET(PLE!$G$14,$M46,AX$13)="",10^12,OFFSET(PLE!$G$14,$M46,AX$13))))</f>
        <v>0</v>
      </c>
      <c r="AY46" s="182">
        <f ca="1">IF($D46&lt;&gt;"Serviço",0,IF(OR(AND(AUTOEVENTO="Manual",$M46=1),$M46&gt;(ROW(PLE.lastrow)-ROW(PLE.firstrow))),0,IF(OFFSET(PLE!$G$14,$M46,AY$13)="",10^12,OFFSET(PLE!$G$14,$M46,AY$13))))</f>
        <v>0</v>
      </c>
      <c r="AZ46" s="182">
        <f ca="1">IF($D46&lt;&gt;"Serviço",0,IF(OR(AND(AUTOEVENTO="Manual",$M46=1),$M46&gt;(ROW(PLE.lastrow)-ROW(PLE.firstrow))),0,IF(OFFSET(PLE!$G$14,$M46,AZ$13)="",10^12,OFFSET(PLE!$G$14,$M46,AZ$13))))</f>
        <v>0</v>
      </c>
      <c r="BA46" s="182">
        <f ca="1">IF($D46&lt;&gt;"Serviço",0,IF(OR(AND(AUTOEVENTO="Manual",$M46=1),$M46&gt;(ROW(PLE.lastrow)-ROW(PLE.firstrow))),0,IF(OFFSET(PLE!$G$14,$M46,BA$13)="",10^12,OFFSET(PLE!$G$14,$M46,BA$13))))</f>
        <v>0</v>
      </c>
      <c r="BB46" s="182">
        <f ca="1">IF($D46&lt;&gt;"Serviço",0,IF(OR(AND(AUTOEVENTO="Manual",$M46=1),$M46&gt;(ROW(PLE.lastrow)-ROW(PLE.firstrow))),0,IF(OFFSET(PLE!$G$14,$M46,BB$13)="",10^12,OFFSET(PLE!$G$14,$M46,BB$13))))</f>
        <v>0</v>
      </c>
      <c r="BC46" s="182">
        <f ca="1">IF($D46&lt;&gt;"Serviço",0,IF(OR(AND(AUTOEVENTO="Manual",$M46=1),$M46&gt;(ROW(PLE.lastrow)-ROW(PLE.firstrow))),0,IF(OFFSET(PLE!$G$14,$M46,BC$13)="",10^12,OFFSET(PLE!$G$14,$M46,BC$13))))</f>
        <v>0</v>
      </c>
      <c r="BD46" s="182">
        <f ca="1">IF($D46&lt;&gt;"Serviço",0,IF(OR(AND(AUTOEVENTO="Manual",$M46=1),$M46&gt;(ROW(PLE.lastrow)-ROW(PLE.firstrow))),0,IF(OFFSET(PLE!$G$14,$M46,BD$13)="",10^12,OFFSET(PLE!$G$14,$M46,BD$13))))</f>
        <v>0</v>
      </c>
      <c r="BE46" s="182">
        <f ca="1">IF($D46&lt;&gt;"Serviço",0,IF(OR(AND(AUTOEVENTO="Manual",$M46=1),$M46&gt;(ROW(PLE.lastrow)-ROW(PLE.firstrow))),0,IF(OFFSET(PLE!$G$14,$M46,BE$13)="",10^12,OFFSET(PLE!$G$14,$M46,BE$13))))</f>
        <v>0</v>
      </c>
      <c r="BF46" s="182">
        <f ca="1">IF($D46&lt;&gt;"Serviço",0,IF(OR(AND(AUTOEVENTO="Manual",$M46=1),$M46&gt;(ROW(PLE.lastrow)-ROW(PLE.firstrow))),0,IF(OFFSET(PLE!$G$14,$M46,BF$13)="",10^12,OFFSET(PLE!$G$14,$M46,BF$13))))</f>
        <v>0</v>
      </c>
      <c r="BG46" s="182">
        <f ca="1">IF($D46&lt;&gt;"Serviço",0,IF(OR(AND(AUTOEVENTO="Manual",$M46=1),$M46&gt;(ROW(PLE.lastrow)-ROW(PLE.firstrow))),0,IF(OFFSET(PLE!$G$14,$M46,BG$13)="",10^12,OFFSET(PLE!$G$14,$M46,BG$13))))</f>
        <v>0</v>
      </c>
    </row>
    <row r="47" spans="1:59" ht="38.25" x14ac:dyDescent="0.2">
      <c r="A47" s="7" t="str">
        <f t="shared" ca="1" si="8"/>
        <v>31</v>
      </c>
      <c r="B47" s="7" t="str">
        <f ca="1">OFFSET(ORÇAMENTO!C$15,ROW(B47)-ROW(B$15),0)</f>
        <v>S</v>
      </c>
      <c r="C47" s="7" t="str">
        <f ca="1">OFFSET(ORÇAMENTO!L$15,ROW(C47)-ROW(C$15),0)</f>
        <v>F</v>
      </c>
      <c r="D47" s="118" t="str">
        <f ca="1">OFFSET(ORÇAMENTO!N$15,ROW(D47)-ROW(D$15),0)</f>
        <v>Serviço</v>
      </c>
      <c r="E47" s="119" t="str">
        <f ca="1">OFFSET(ORÇAMENTO!O$15,ROW(E47)-ROW(E$15),0)</f>
        <v>3.2.1.</v>
      </c>
      <c r="F47" s="172" t="str">
        <f ca="1">OFFSET(ORÇAMENTO!R$15,ROW(F47)-ROW(F$15),0)</f>
        <v>CONCRETAGEM DE VIGAS E LAJES, FCK=25 MPA, PARA LAJES MACIÇAS OU NERVURADAS COM USO DE BOMBA - LANÇAMENTO, ADENSAMENTO E ACABAMENTO. AF_02/2022_PS</v>
      </c>
      <c r="G47" s="173" t="str">
        <f ca="1">IF($D47&lt;&gt;"Serviço","",OFFSET(ORÇAMENTO!S$15,ROW(G47)-ROW(G$15),0))</f>
        <v>M3</v>
      </c>
      <c r="H47" s="124">
        <f ca="1">IF($D47&lt;&gt;"Serviço",0,IF(ACOMPANHAMENTO="BM",ROUND(OFFSET(ORÇAMENTO!AJ$15,ROW(H47)-ROW(H$15),0),15-13*ORÇAMENTO!$AF$7),SUMPRODUCT(($Q$12:$AA$12&lt;&gt;"")*ROUND($Q47:$AA47,15-13*ORÇAMENTO!$AF$7))))</f>
        <v>5.5</v>
      </c>
      <c r="I47" s="561"/>
      <c r="K47" s="174"/>
      <c r="L47" s="175" t="s">
        <v>255</v>
      </c>
      <c r="M47" s="176">
        <f ca="1">IF($D47&lt;&gt;"Serviço","",IF(AUTOEVENTO="manual",$A47,IF(ISERROR(MATCH($A47,$A$15:OFFSET($A47,-1,0),0)),MAX($M$15:OFFSET(M47,-1,0))+1,INDEX($M$15:OFFSET(M47,-1,0),MATCH($A47,$A$15:OFFSET($A47,-1,0),0)))))</f>
        <v>7</v>
      </c>
      <c r="N47" s="177" t="str">
        <f ca="1">IF($D47&lt;&gt;"Serviço","",IF(AUTOEVENTO="Manual",IF($A47=0,"&lt;-- defina o número do agrupador",OFFSET(EVENTOS!$D$14,$A47,0)),OFFSET($F$15,$A47,0)))</f>
        <v>VIGA CINTA</v>
      </c>
      <c r="O47" s="178"/>
      <c r="Q47" s="178"/>
      <c r="R47" s="179"/>
      <c r="S47" s="179"/>
      <c r="T47" s="179"/>
      <c r="U47" s="179"/>
      <c r="V47" s="179"/>
      <c r="W47" s="179"/>
      <c r="X47" s="179"/>
      <c r="Y47" s="179"/>
      <c r="Z47" s="180"/>
      <c r="AB47" s="544">
        <f ca="1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545">
        <f ca="1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545">
        <f ca="1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545">
        <f ca="1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545">
        <f ca="1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545">
        <f ca="1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545">
        <f ca="1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545">
        <f ca="1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545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546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181">
        <f ca="1">IF($D47&lt;&gt;"Serviço",0,IF(AND(AUTOEVENTO="Manual",$M47=1),0,IF(OFFSET(CRONOPLE!$F$14,$M47,AM$13)="",10^12,OFFSET(CRONOPLE!$F$14,$M47,AM$13))))</f>
        <v>1000000000000</v>
      </c>
      <c r="AN47" s="181">
        <f ca="1">IF($D47&lt;&gt;"Serviço",0,IF(AND(AUTOEVENTO="Manual",$M47=1),0,IF(OFFSET(CRONOPLE!$F$14,$M47,AN$13)="",10^12,OFFSET(CRONOPLE!$F$14,$M47,AN$13))))</f>
        <v>1000000000000</v>
      </c>
      <c r="AO47" s="181">
        <f ca="1">IF($D47&lt;&gt;"Serviço",0,IF(AND(AUTOEVENTO="Manual",$M47=1),0,IF(OFFSET(CRONOPLE!$F$14,$M47,AO$13)="",10^12,OFFSET(CRONOPLE!$F$14,$M47,AO$13))))</f>
        <v>1000000000000</v>
      </c>
      <c r="AP47" s="181">
        <f ca="1">IF($D47&lt;&gt;"Serviço",0,IF(AND(AUTOEVENTO="Manual",$M47=1),0,IF(OFFSET(CRONOPLE!$F$14,$M47,AP$13)="",10^12,OFFSET(CRONOPLE!$F$14,$M47,AP$13))))</f>
        <v>1000000000000</v>
      </c>
      <c r="AQ47" s="181">
        <f ca="1">IF($D47&lt;&gt;"Serviço",0,IF(AND(AUTOEVENTO="Manual",$M47=1),0,IF(OFFSET(CRONOPLE!$F$14,$M47,AQ$13)="",10^12,OFFSET(CRONOPLE!$F$14,$M47,AQ$13))))</f>
        <v>1000000000000</v>
      </c>
      <c r="AR47" s="181">
        <f ca="1">IF($D47&lt;&gt;"Serviço",0,IF(AND(AUTOEVENTO="Manual",$M47=1),0,IF(OFFSET(CRONOPLE!$F$14,$M47,AR$13)="",10^12,OFFSET(CRONOPLE!$F$14,$M47,AR$13))))</f>
        <v>1000000000000</v>
      </c>
      <c r="AS47" s="181">
        <f ca="1">IF($D47&lt;&gt;"Serviço",0,IF(AND(AUTOEVENTO="Manual",$M47=1),0,IF(OFFSET(CRONOPLE!$F$14,$M47,AS$13)="",10^12,OFFSET(CRONOPLE!$F$14,$M47,AS$13))))</f>
        <v>1000000000000</v>
      </c>
      <c r="AT47" s="181">
        <f ca="1">IF($D47&lt;&gt;"Serviço",0,IF(AND(AUTOEVENTO="Manual",$M47=1),0,IF(OFFSET(CRONOPLE!$F$14,$M47,AT$13)="",10^12,OFFSET(CRONOPLE!$F$14,$M47,AT$13))))</f>
        <v>1000000000000</v>
      </c>
      <c r="AU47" s="181">
        <f ca="1">IF($D47&lt;&gt;"Serviço",0,IF(AND(AUTOEVENTO="Manual",$M47=1),0,IF(OFFSET(CRONOPLE!$F$14,$M47,AU$13)="",10^12,OFFSET(CRONOPLE!$F$14,$M47,AU$13))))</f>
        <v>1000000000000</v>
      </c>
      <c r="AV47" s="181">
        <f ca="1">IF($D47&lt;&gt;"Serviço",0,IF(AND(AUTOEVENTO="Manual",$M47=1),0,IF(OFFSET(CRONOPLE!$F$14,$M47,AV$13)="",10^12,OFFSET(CRONOPLE!$F$14,$M47,AV$13))))</f>
        <v>1000000000000</v>
      </c>
      <c r="AX47" s="182">
        <f ca="1">IF($D47&lt;&gt;"Serviço",0,IF(OR(AND(AUTOEVENTO="Manual",$M47=1),$M47&gt;(ROW(PLE.lastrow)-ROW(PLE.firstrow))),0,IF(OFFSET(PLE!$G$14,$M47,AX$13)="",10^12,OFFSET(PLE!$G$14,$M47,AX$13))))</f>
        <v>1000000000000</v>
      </c>
      <c r="AY47" s="182">
        <f ca="1">IF($D47&lt;&gt;"Serviço",0,IF(OR(AND(AUTOEVENTO="Manual",$M47=1),$M47&gt;(ROW(PLE.lastrow)-ROW(PLE.firstrow))),0,IF(OFFSET(PLE!$G$14,$M47,AY$13)="",10^12,OFFSET(PLE!$G$14,$M47,AY$13))))</f>
        <v>1000000000000</v>
      </c>
      <c r="AZ47" s="182">
        <f ca="1">IF($D47&lt;&gt;"Serviço",0,IF(OR(AND(AUTOEVENTO="Manual",$M47=1),$M47&gt;(ROW(PLE.lastrow)-ROW(PLE.firstrow))),0,IF(OFFSET(PLE!$G$14,$M47,AZ$13)="",10^12,OFFSET(PLE!$G$14,$M47,AZ$13))))</f>
        <v>1000000000000</v>
      </c>
      <c r="BA47" s="182">
        <f ca="1">IF($D47&lt;&gt;"Serviço",0,IF(OR(AND(AUTOEVENTO="Manual",$M47=1),$M47&gt;(ROW(PLE.lastrow)-ROW(PLE.firstrow))),0,IF(OFFSET(PLE!$G$14,$M47,BA$13)="",10^12,OFFSET(PLE!$G$14,$M47,BA$13))))</f>
        <v>1000000000000</v>
      </c>
      <c r="BB47" s="182">
        <f ca="1">IF($D47&lt;&gt;"Serviço",0,IF(OR(AND(AUTOEVENTO="Manual",$M47=1),$M47&gt;(ROW(PLE.lastrow)-ROW(PLE.firstrow))),0,IF(OFFSET(PLE!$G$14,$M47,BB$13)="",10^12,OFFSET(PLE!$G$14,$M47,BB$13))))</f>
        <v>1000000000000</v>
      </c>
      <c r="BC47" s="182">
        <f ca="1">IF($D47&lt;&gt;"Serviço",0,IF(OR(AND(AUTOEVENTO="Manual",$M47=1),$M47&gt;(ROW(PLE.lastrow)-ROW(PLE.firstrow))),0,IF(OFFSET(PLE!$G$14,$M47,BC$13)="",10^12,OFFSET(PLE!$G$14,$M47,BC$13))))</f>
        <v>1000000000000</v>
      </c>
      <c r="BD47" s="182">
        <f ca="1">IF($D47&lt;&gt;"Serviço",0,IF(OR(AND(AUTOEVENTO="Manual",$M47=1),$M47&gt;(ROW(PLE.lastrow)-ROW(PLE.firstrow))),0,IF(OFFSET(PLE!$G$14,$M47,BD$13)="",10^12,OFFSET(PLE!$G$14,$M47,BD$13))))</f>
        <v>1000000000000</v>
      </c>
      <c r="BE47" s="182">
        <f ca="1">IF($D47&lt;&gt;"Serviço",0,IF(OR(AND(AUTOEVENTO="Manual",$M47=1),$M47&gt;(ROW(PLE.lastrow)-ROW(PLE.firstrow))),0,IF(OFFSET(PLE!$G$14,$M47,BE$13)="",10^12,OFFSET(PLE!$G$14,$M47,BE$13))))</f>
        <v>1000000000000</v>
      </c>
      <c r="BF47" s="182">
        <f ca="1">IF($D47&lt;&gt;"Serviço",0,IF(OR(AND(AUTOEVENTO="Manual",$M47=1),$M47&gt;(ROW(PLE.lastrow)-ROW(PLE.firstrow))),0,IF(OFFSET(PLE!$G$14,$M47,BF$13)="",10^12,OFFSET(PLE!$G$14,$M47,BF$13))))</f>
        <v>1000000000000</v>
      </c>
      <c r="BG47" s="182">
        <f ca="1">IF($D47&lt;&gt;"Serviço",0,IF(OR(AND(AUTOEVENTO="Manual",$M47=1),$M47&gt;(ROW(PLE.lastrow)-ROW(PLE.firstrow))),0,IF(OFFSET(PLE!$G$14,$M47,BG$13)="",10^12,OFFSET(PLE!$G$14,$M47,BG$13))))</f>
        <v>1000000000000</v>
      </c>
    </row>
    <row r="48" spans="1:59" ht="38.25" x14ac:dyDescent="0.2">
      <c r="A48" s="7" t="str">
        <f t="shared" ca="1" si="8"/>
        <v>31</v>
      </c>
      <c r="B48" s="7" t="str">
        <f ca="1">OFFSET(ORÇAMENTO!C$15,ROW(B48)-ROW(B$15),0)</f>
        <v>S</v>
      </c>
      <c r="C48" s="7" t="str">
        <f ca="1">OFFSET(ORÇAMENTO!L$15,ROW(C48)-ROW(C$15),0)</f>
        <v>F</v>
      </c>
      <c r="D48" s="118" t="str">
        <f ca="1">OFFSET(ORÇAMENTO!N$15,ROW(D48)-ROW(D$15),0)</f>
        <v>Serviço</v>
      </c>
      <c r="E48" s="119" t="str">
        <f ca="1">OFFSET(ORÇAMENTO!O$15,ROW(E48)-ROW(E$15),0)</f>
        <v>3.2.2.</v>
      </c>
      <c r="F48" s="172" t="str">
        <f ca="1">OFFSET(ORÇAMENTO!R$15,ROW(F48)-ROW(F$15),0)</f>
        <v>ARMAÇÃO DE PILAR OU VIGA DE ESTRUTURA CONVENCIONAL DE CONCRETO ARMADO UTILIZANDO AÇO CA-50 DE 10,0 MM - MONTAGEM. AF_06/2022</v>
      </c>
      <c r="G48" s="173" t="str">
        <f ca="1">IF($D48&lt;&gt;"Serviço","",OFFSET(ORÇAMENTO!S$15,ROW(G48)-ROW(G$15),0))</f>
        <v>KG</v>
      </c>
      <c r="H48" s="124">
        <f ca="1">IF($D48&lt;&gt;"Serviço",0,IF(ACOMPANHAMENTO="BM",ROUND(OFFSET(ORÇAMENTO!AJ$15,ROW(H48)-ROW(H$15),0),15-13*ORÇAMENTO!$AF$7),SUMPRODUCT(($Q$12:$AA$12&lt;&gt;"")*ROUND($Q48:$AA48,15-13*ORÇAMENTO!$AF$7))))</f>
        <v>301.7</v>
      </c>
      <c r="I48" s="561"/>
      <c r="K48" s="174"/>
      <c r="L48" s="175" t="s">
        <v>255</v>
      </c>
      <c r="M48" s="176">
        <f ca="1">IF($D48&lt;&gt;"Serviço","",IF(AUTOEVENTO="manual",$A48,IF(ISERROR(MATCH($A48,$A$15:OFFSET($A48,-1,0),0)),MAX($M$15:OFFSET(M48,-1,0))+1,INDEX($M$15:OFFSET(M48,-1,0),MATCH($A48,$A$15:OFFSET($A48,-1,0),0)))))</f>
        <v>7</v>
      </c>
      <c r="N48" s="177" t="str">
        <f ca="1">IF($D48&lt;&gt;"Serviço","",IF(AUTOEVENTO="Manual",IF($A48=0,"&lt;-- defina o número do agrupador",OFFSET(EVENTOS!$D$14,$A48,0)),OFFSET($F$15,$A48,0)))</f>
        <v>VIGA CINTA</v>
      </c>
      <c r="O48" s="178"/>
      <c r="Q48" s="178"/>
      <c r="R48" s="179"/>
      <c r="S48" s="179"/>
      <c r="T48" s="179"/>
      <c r="U48" s="179"/>
      <c r="V48" s="179"/>
      <c r="W48" s="179"/>
      <c r="X48" s="179"/>
      <c r="Y48" s="179"/>
      <c r="Z48" s="180"/>
      <c r="AB48" s="544">
        <f ca="1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545">
        <f ca="1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545">
        <f ca="1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545">
        <f ca="1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545">
        <f ca="1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545">
        <f ca="1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545">
        <f ca="1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545">
        <f ca="1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545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546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181">
        <f ca="1">IF($D48&lt;&gt;"Serviço",0,IF(AND(AUTOEVENTO="Manual",$M48=1),0,IF(OFFSET(CRONOPLE!$F$14,$M48,AM$13)="",10^12,OFFSET(CRONOPLE!$F$14,$M48,AM$13))))</f>
        <v>1000000000000</v>
      </c>
      <c r="AN48" s="181">
        <f ca="1">IF($D48&lt;&gt;"Serviço",0,IF(AND(AUTOEVENTO="Manual",$M48=1),0,IF(OFFSET(CRONOPLE!$F$14,$M48,AN$13)="",10^12,OFFSET(CRONOPLE!$F$14,$M48,AN$13))))</f>
        <v>1000000000000</v>
      </c>
      <c r="AO48" s="181">
        <f ca="1">IF($D48&lt;&gt;"Serviço",0,IF(AND(AUTOEVENTO="Manual",$M48=1),0,IF(OFFSET(CRONOPLE!$F$14,$M48,AO$13)="",10^12,OFFSET(CRONOPLE!$F$14,$M48,AO$13))))</f>
        <v>1000000000000</v>
      </c>
      <c r="AP48" s="181">
        <f ca="1">IF($D48&lt;&gt;"Serviço",0,IF(AND(AUTOEVENTO="Manual",$M48=1),0,IF(OFFSET(CRONOPLE!$F$14,$M48,AP$13)="",10^12,OFFSET(CRONOPLE!$F$14,$M48,AP$13))))</f>
        <v>1000000000000</v>
      </c>
      <c r="AQ48" s="181">
        <f ca="1">IF($D48&lt;&gt;"Serviço",0,IF(AND(AUTOEVENTO="Manual",$M48=1),0,IF(OFFSET(CRONOPLE!$F$14,$M48,AQ$13)="",10^12,OFFSET(CRONOPLE!$F$14,$M48,AQ$13))))</f>
        <v>1000000000000</v>
      </c>
      <c r="AR48" s="181">
        <f ca="1">IF($D48&lt;&gt;"Serviço",0,IF(AND(AUTOEVENTO="Manual",$M48=1),0,IF(OFFSET(CRONOPLE!$F$14,$M48,AR$13)="",10^12,OFFSET(CRONOPLE!$F$14,$M48,AR$13))))</f>
        <v>1000000000000</v>
      </c>
      <c r="AS48" s="181">
        <f ca="1">IF($D48&lt;&gt;"Serviço",0,IF(AND(AUTOEVENTO="Manual",$M48=1),0,IF(OFFSET(CRONOPLE!$F$14,$M48,AS$13)="",10^12,OFFSET(CRONOPLE!$F$14,$M48,AS$13))))</f>
        <v>1000000000000</v>
      </c>
      <c r="AT48" s="181">
        <f ca="1">IF($D48&lt;&gt;"Serviço",0,IF(AND(AUTOEVENTO="Manual",$M48=1),0,IF(OFFSET(CRONOPLE!$F$14,$M48,AT$13)="",10^12,OFFSET(CRONOPLE!$F$14,$M48,AT$13))))</f>
        <v>1000000000000</v>
      </c>
      <c r="AU48" s="181">
        <f ca="1">IF($D48&lt;&gt;"Serviço",0,IF(AND(AUTOEVENTO="Manual",$M48=1),0,IF(OFFSET(CRONOPLE!$F$14,$M48,AU$13)="",10^12,OFFSET(CRONOPLE!$F$14,$M48,AU$13))))</f>
        <v>1000000000000</v>
      </c>
      <c r="AV48" s="181">
        <f ca="1">IF($D48&lt;&gt;"Serviço",0,IF(AND(AUTOEVENTO="Manual",$M48=1),0,IF(OFFSET(CRONOPLE!$F$14,$M48,AV$13)="",10^12,OFFSET(CRONOPLE!$F$14,$M48,AV$13))))</f>
        <v>1000000000000</v>
      </c>
      <c r="AX48" s="182">
        <f ca="1">IF($D48&lt;&gt;"Serviço",0,IF(OR(AND(AUTOEVENTO="Manual",$M48=1),$M48&gt;(ROW(PLE.lastrow)-ROW(PLE.firstrow))),0,IF(OFFSET(PLE!$G$14,$M48,AX$13)="",10^12,OFFSET(PLE!$G$14,$M48,AX$13))))</f>
        <v>1000000000000</v>
      </c>
      <c r="AY48" s="182">
        <f ca="1">IF($D48&lt;&gt;"Serviço",0,IF(OR(AND(AUTOEVENTO="Manual",$M48=1),$M48&gt;(ROW(PLE.lastrow)-ROW(PLE.firstrow))),0,IF(OFFSET(PLE!$G$14,$M48,AY$13)="",10^12,OFFSET(PLE!$G$14,$M48,AY$13))))</f>
        <v>1000000000000</v>
      </c>
      <c r="AZ48" s="182">
        <f ca="1">IF($D48&lt;&gt;"Serviço",0,IF(OR(AND(AUTOEVENTO="Manual",$M48=1),$M48&gt;(ROW(PLE.lastrow)-ROW(PLE.firstrow))),0,IF(OFFSET(PLE!$G$14,$M48,AZ$13)="",10^12,OFFSET(PLE!$G$14,$M48,AZ$13))))</f>
        <v>1000000000000</v>
      </c>
      <c r="BA48" s="182">
        <f ca="1">IF($D48&lt;&gt;"Serviço",0,IF(OR(AND(AUTOEVENTO="Manual",$M48=1),$M48&gt;(ROW(PLE.lastrow)-ROW(PLE.firstrow))),0,IF(OFFSET(PLE!$G$14,$M48,BA$13)="",10^12,OFFSET(PLE!$G$14,$M48,BA$13))))</f>
        <v>1000000000000</v>
      </c>
      <c r="BB48" s="182">
        <f ca="1">IF($D48&lt;&gt;"Serviço",0,IF(OR(AND(AUTOEVENTO="Manual",$M48=1),$M48&gt;(ROW(PLE.lastrow)-ROW(PLE.firstrow))),0,IF(OFFSET(PLE!$G$14,$M48,BB$13)="",10^12,OFFSET(PLE!$G$14,$M48,BB$13))))</f>
        <v>1000000000000</v>
      </c>
      <c r="BC48" s="182">
        <f ca="1">IF($D48&lt;&gt;"Serviço",0,IF(OR(AND(AUTOEVENTO="Manual",$M48=1),$M48&gt;(ROW(PLE.lastrow)-ROW(PLE.firstrow))),0,IF(OFFSET(PLE!$G$14,$M48,BC$13)="",10^12,OFFSET(PLE!$G$14,$M48,BC$13))))</f>
        <v>1000000000000</v>
      </c>
      <c r="BD48" s="182">
        <f ca="1">IF($D48&lt;&gt;"Serviço",0,IF(OR(AND(AUTOEVENTO="Manual",$M48=1),$M48&gt;(ROW(PLE.lastrow)-ROW(PLE.firstrow))),0,IF(OFFSET(PLE!$G$14,$M48,BD$13)="",10^12,OFFSET(PLE!$G$14,$M48,BD$13))))</f>
        <v>1000000000000</v>
      </c>
      <c r="BE48" s="182">
        <f ca="1">IF($D48&lt;&gt;"Serviço",0,IF(OR(AND(AUTOEVENTO="Manual",$M48=1),$M48&gt;(ROW(PLE.lastrow)-ROW(PLE.firstrow))),0,IF(OFFSET(PLE!$G$14,$M48,BE$13)="",10^12,OFFSET(PLE!$G$14,$M48,BE$13))))</f>
        <v>1000000000000</v>
      </c>
      <c r="BF48" s="182">
        <f ca="1">IF($D48&lt;&gt;"Serviço",0,IF(OR(AND(AUTOEVENTO="Manual",$M48=1),$M48&gt;(ROW(PLE.lastrow)-ROW(PLE.firstrow))),0,IF(OFFSET(PLE!$G$14,$M48,BF$13)="",10^12,OFFSET(PLE!$G$14,$M48,BF$13))))</f>
        <v>1000000000000</v>
      </c>
      <c r="BG48" s="182">
        <f ca="1">IF($D48&lt;&gt;"Serviço",0,IF(OR(AND(AUTOEVENTO="Manual",$M48=1),$M48&gt;(ROW(PLE.lastrow)-ROW(PLE.firstrow))),0,IF(OFFSET(PLE!$G$14,$M48,BG$13)="",10^12,OFFSET(PLE!$G$14,$M48,BG$13))))</f>
        <v>1000000000000</v>
      </c>
    </row>
    <row r="49" spans="1:59" ht="25.5" x14ac:dyDescent="0.2">
      <c r="A49" s="7" t="str">
        <f t="shared" ca="1" si="8"/>
        <v>31</v>
      </c>
      <c r="B49" s="7" t="str">
        <f ca="1">OFFSET(ORÇAMENTO!C$15,ROW(B49)-ROW(B$15),0)</f>
        <v>S</v>
      </c>
      <c r="C49" s="7" t="str">
        <f ca="1">OFFSET(ORÇAMENTO!L$15,ROW(C49)-ROW(C$15),0)</f>
        <v>F</v>
      </c>
      <c r="D49" s="118" t="str">
        <f ca="1">OFFSET(ORÇAMENTO!N$15,ROW(D49)-ROW(D$15),0)</f>
        <v>Serviço</v>
      </c>
      <c r="E49" s="119" t="str">
        <f ca="1">OFFSET(ORÇAMENTO!O$15,ROW(E49)-ROW(E$15),0)</f>
        <v>3.2.3.</v>
      </c>
      <c r="F49" s="172" t="str">
        <f ca="1">OFFSET(ORÇAMENTO!R$15,ROW(F49)-ROW(F$15),0)</f>
        <v>ARMAÇÃO DE BLOCO UTILIZANDO AÇO CA-60 DE 5 MM - MONTAGEM. AF_01/2024</v>
      </c>
      <c r="G49" s="173" t="str">
        <f ca="1">IF($D49&lt;&gt;"Serviço","",OFFSET(ORÇAMENTO!S$15,ROW(G49)-ROW(G$15),0))</f>
        <v>KG</v>
      </c>
      <c r="H49" s="124">
        <f ca="1">IF($D49&lt;&gt;"Serviço",0,IF(ACOMPANHAMENTO="BM",ROUND(OFFSET(ORÇAMENTO!AJ$15,ROW(H49)-ROW(H$15),0),15-13*ORÇAMENTO!$AF$7),SUMPRODUCT(($Q$12:$AA$12&lt;&gt;"")*ROUND($Q49:$AA49,15-13*ORÇAMENTO!$AF$7))))</f>
        <v>141.37</v>
      </c>
      <c r="I49" s="561"/>
      <c r="K49" s="174"/>
      <c r="L49" s="175" t="s">
        <v>255</v>
      </c>
      <c r="M49" s="176">
        <f ca="1">IF($D49&lt;&gt;"Serviço","",IF(AUTOEVENTO="manual",$A49,IF(ISERROR(MATCH($A49,$A$15:OFFSET($A49,-1,0),0)),MAX($M$15:OFFSET(M49,-1,0))+1,INDEX($M$15:OFFSET(M49,-1,0),MATCH($A49,$A$15:OFFSET($A49,-1,0),0)))))</f>
        <v>7</v>
      </c>
      <c r="N49" s="177" t="str">
        <f ca="1">IF($D49&lt;&gt;"Serviço","",IF(AUTOEVENTO="Manual",IF($A49=0,"&lt;-- defina o número do agrupador",OFFSET(EVENTOS!$D$14,$A49,0)),OFFSET($F$15,$A49,0)))</f>
        <v>VIGA CINTA</v>
      </c>
      <c r="O49" s="178"/>
      <c r="Q49" s="178"/>
      <c r="R49" s="179"/>
      <c r="S49" s="179"/>
      <c r="T49" s="179"/>
      <c r="U49" s="179"/>
      <c r="V49" s="179"/>
      <c r="W49" s="179"/>
      <c r="X49" s="179"/>
      <c r="Y49" s="179"/>
      <c r="Z49" s="180"/>
      <c r="AB49" s="544">
        <f ca="1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545">
        <f ca="1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0</v>
      </c>
      <c r="AD49" s="545">
        <f ca="1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545">
        <f ca="1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545">
        <f ca="1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545">
        <f ca="1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545">
        <f ca="1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545">
        <f ca="1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545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546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181">
        <f ca="1">IF($D49&lt;&gt;"Serviço",0,IF(AND(AUTOEVENTO="Manual",$M49=1),0,IF(OFFSET(CRONOPLE!$F$14,$M49,AM$13)="",10^12,OFFSET(CRONOPLE!$F$14,$M49,AM$13))))</f>
        <v>1000000000000</v>
      </c>
      <c r="AN49" s="181">
        <f ca="1">IF($D49&lt;&gt;"Serviço",0,IF(AND(AUTOEVENTO="Manual",$M49=1),0,IF(OFFSET(CRONOPLE!$F$14,$M49,AN$13)="",10^12,OFFSET(CRONOPLE!$F$14,$M49,AN$13))))</f>
        <v>1000000000000</v>
      </c>
      <c r="AO49" s="181">
        <f ca="1">IF($D49&lt;&gt;"Serviço",0,IF(AND(AUTOEVENTO="Manual",$M49=1),0,IF(OFFSET(CRONOPLE!$F$14,$M49,AO$13)="",10^12,OFFSET(CRONOPLE!$F$14,$M49,AO$13))))</f>
        <v>1000000000000</v>
      </c>
      <c r="AP49" s="181">
        <f ca="1">IF($D49&lt;&gt;"Serviço",0,IF(AND(AUTOEVENTO="Manual",$M49=1),0,IF(OFFSET(CRONOPLE!$F$14,$M49,AP$13)="",10^12,OFFSET(CRONOPLE!$F$14,$M49,AP$13))))</f>
        <v>1000000000000</v>
      </c>
      <c r="AQ49" s="181">
        <f ca="1">IF($D49&lt;&gt;"Serviço",0,IF(AND(AUTOEVENTO="Manual",$M49=1),0,IF(OFFSET(CRONOPLE!$F$14,$M49,AQ$13)="",10^12,OFFSET(CRONOPLE!$F$14,$M49,AQ$13))))</f>
        <v>1000000000000</v>
      </c>
      <c r="AR49" s="181">
        <f ca="1">IF($D49&lt;&gt;"Serviço",0,IF(AND(AUTOEVENTO="Manual",$M49=1),0,IF(OFFSET(CRONOPLE!$F$14,$M49,AR$13)="",10^12,OFFSET(CRONOPLE!$F$14,$M49,AR$13))))</f>
        <v>1000000000000</v>
      </c>
      <c r="AS49" s="181">
        <f ca="1">IF($D49&lt;&gt;"Serviço",0,IF(AND(AUTOEVENTO="Manual",$M49=1),0,IF(OFFSET(CRONOPLE!$F$14,$M49,AS$13)="",10^12,OFFSET(CRONOPLE!$F$14,$M49,AS$13))))</f>
        <v>1000000000000</v>
      </c>
      <c r="AT49" s="181">
        <f ca="1">IF($D49&lt;&gt;"Serviço",0,IF(AND(AUTOEVENTO="Manual",$M49=1),0,IF(OFFSET(CRONOPLE!$F$14,$M49,AT$13)="",10^12,OFFSET(CRONOPLE!$F$14,$M49,AT$13))))</f>
        <v>1000000000000</v>
      </c>
      <c r="AU49" s="181">
        <f ca="1">IF($D49&lt;&gt;"Serviço",0,IF(AND(AUTOEVENTO="Manual",$M49=1),0,IF(OFFSET(CRONOPLE!$F$14,$M49,AU$13)="",10^12,OFFSET(CRONOPLE!$F$14,$M49,AU$13))))</f>
        <v>1000000000000</v>
      </c>
      <c r="AV49" s="181">
        <f ca="1">IF($D49&lt;&gt;"Serviço",0,IF(AND(AUTOEVENTO="Manual",$M49=1),0,IF(OFFSET(CRONOPLE!$F$14,$M49,AV$13)="",10^12,OFFSET(CRONOPLE!$F$14,$M49,AV$13))))</f>
        <v>1000000000000</v>
      </c>
      <c r="AX49" s="182">
        <f ca="1">IF($D49&lt;&gt;"Serviço",0,IF(OR(AND(AUTOEVENTO="Manual",$M49=1),$M49&gt;(ROW(PLE.lastrow)-ROW(PLE.firstrow))),0,IF(OFFSET(PLE!$G$14,$M49,AX$13)="",10^12,OFFSET(PLE!$G$14,$M49,AX$13))))</f>
        <v>1000000000000</v>
      </c>
      <c r="AY49" s="182">
        <f ca="1">IF($D49&lt;&gt;"Serviço",0,IF(OR(AND(AUTOEVENTO="Manual",$M49=1),$M49&gt;(ROW(PLE.lastrow)-ROW(PLE.firstrow))),0,IF(OFFSET(PLE!$G$14,$M49,AY$13)="",10^12,OFFSET(PLE!$G$14,$M49,AY$13))))</f>
        <v>1000000000000</v>
      </c>
      <c r="AZ49" s="182">
        <f ca="1">IF($D49&lt;&gt;"Serviço",0,IF(OR(AND(AUTOEVENTO="Manual",$M49=1),$M49&gt;(ROW(PLE.lastrow)-ROW(PLE.firstrow))),0,IF(OFFSET(PLE!$G$14,$M49,AZ$13)="",10^12,OFFSET(PLE!$G$14,$M49,AZ$13))))</f>
        <v>1000000000000</v>
      </c>
      <c r="BA49" s="182">
        <f ca="1">IF($D49&lt;&gt;"Serviço",0,IF(OR(AND(AUTOEVENTO="Manual",$M49=1),$M49&gt;(ROW(PLE.lastrow)-ROW(PLE.firstrow))),0,IF(OFFSET(PLE!$G$14,$M49,BA$13)="",10^12,OFFSET(PLE!$G$14,$M49,BA$13))))</f>
        <v>1000000000000</v>
      </c>
      <c r="BB49" s="182">
        <f ca="1">IF($D49&lt;&gt;"Serviço",0,IF(OR(AND(AUTOEVENTO="Manual",$M49=1),$M49&gt;(ROW(PLE.lastrow)-ROW(PLE.firstrow))),0,IF(OFFSET(PLE!$G$14,$M49,BB$13)="",10^12,OFFSET(PLE!$G$14,$M49,BB$13))))</f>
        <v>1000000000000</v>
      </c>
      <c r="BC49" s="182">
        <f ca="1">IF($D49&lt;&gt;"Serviço",0,IF(OR(AND(AUTOEVENTO="Manual",$M49=1),$M49&gt;(ROW(PLE.lastrow)-ROW(PLE.firstrow))),0,IF(OFFSET(PLE!$G$14,$M49,BC$13)="",10^12,OFFSET(PLE!$G$14,$M49,BC$13))))</f>
        <v>1000000000000</v>
      </c>
      <c r="BD49" s="182">
        <f ca="1">IF($D49&lt;&gt;"Serviço",0,IF(OR(AND(AUTOEVENTO="Manual",$M49=1),$M49&gt;(ROW(PLE.lastrow)-ROW(PLE.firstrow))),0,IF(OFFSET(PLE!$G$14,$M49,BD$13)="",10^12,OFFSET(PLE!$G$14,$M49,BD$13))))</f>
        <v>1000000000000</v>
      </c>
      <c r="BE49" s="182">
        <f ca="1">IF($D49&lt;&gt;"Serviço",0,IF(OR(AND(AUTOEVENTO="Manual",$M49=1),$M49&gt;(ROW(PLE.lastrow)-ROW(PLE.firstrow))),0,IF(OFFSET(PLE!$G$14,$M49,BE$13)="",10^12,OFFSET(PLE!$G$14,$M49,BE$13))))</f>
        <v>1000000000000</v>
      </c>
      <c r="BF49" s="182">
        <f ca="1">IF($D49&lt;&gt;"Serviço",0,IF(OR(AND(AUTOEVENTO="Manual",$M49=1),$M49&gt;(ROW(PLE.lastrow)-ROW(PLE.firstrow))),0,IF(OFFSET(PLE!$G$14,$M49,BF$13)="",10^12,OFFSET(PLE!$G$14,$M49,BF$13))))</f>
        <v>1000000000000</v>
      </c>
      <c r="BG49" s="182">
        <f ca="1">IF($D49&lt;&gt;"Serviço",0,IF(OR(AND(AUTOEVENTO="Manual",$M49=1),$M49&gt;(ROW(PLE.lastrow)-ROW(PLE.firstrow))),0,IF(OFFSET(PLE!$G$14,$M49,BG$13)="",10^12,OFFSET(PLE!$G$14,$M49,BG$13))))</f>
        <v>1000000000000</v>
      </c>
    </row>
    <row r="50" spans="1:59" ht="12.75" x14ac:dyDescent="0.2">
      <c r="A50" s="7" t="str">
        <f ca="1">IF(AUTOEVENTO="Manual",IF(K50&lt;&gt;"",MIN(VALUE(LEFT(K50,FIND(".",K50)-1)),COUNTA(EVENTOS.Lista)),0),IF(OR($B50&gt;AUTOEVENTO,$B50="S",$B50=0),SUBSTITUTE(OFFSET($A50,-1,0),IF($D50="Serviço",".",""),""),ROW(A50)-ROW($A$15)&amp;"."))</f>
        <v>35.</v>
      </c>
      <c r="B50" s="7">
        <f ca="1">OFFSET(ORÇAMENTO!C$15,ROW(B50)-ROW(B$15),0)</f>
        <v>1</v>
      </c>
      <c r="C50" s="7" t="str">
        <f ca="1">OFFSET(ORÇAMENTO!L$15,ROW(C50)-ROW(C$15),0)</f>
        <v>F</v>
      </c>
      <c r="D50" s="118" t="str">
        <f ca="1">OFFSET(ORÇAMENTO!N$15,ROW(D50)-ROW(D$15),0)</f>
        <v>Meta</v>
      </c>
      <c r="E50" s="119" t="str">
        <f ca="1">OFFSET(ORÇAMENTO!O$15,ROW(E50)-ROW(E$15),0)</f>
        <v>4.</v>
      </c>
      <c r="F50" s="172" t="str">
        <f ca="1">OFFSET(ORÇAMENTO!R$15,ROW(F50)-ROW(F$15),0)</f>
        <v xml:space="preserve">PAREDES E REVESTIMENTOS </v>
      </c>
      <c r="G50" s="173" t="str">
        <f ca="1">IF($D50&lt;&gt;"Serviço","",OFFSET(ORÇAMENTO!S$15,ROW(G50)-ROW(G$15),0))</f>
        <v/>
      </c>
      <c r="H50" s="124">
        <f ca="1">IF($D50&lt;&gt;"Serviço",0,IF(ACOMPANHAMENTO="BM",ROUND(OFFSET(ORÇAMENTO!AJ$15,ROW(H50)-ROW(H$15),0),15-13*ORÇAMENTO!$AF$7),SUMPRODUCT(($Q$12:$AA$12&lt;&gt;"")*ROUND($Q50:$AA50,15-13*ORÇAMENTO!$AF$7))))</f>
        <v>0</v>
      </c>
      <c r="I50" s="561"/>
      <c r="K50" s="174"/>
      <c r="L50" s="175" t="s">
        <v>255</v>
      </c>
      <c r="M50" s="176" t="str">
        <f ca="1">IF($D50&lt;&gt;"Serviço","",IF(AUTOEVENTO="manual",$A50,IF(ISERROR(MATCH($A50,$A$15:OFFSET($A50,-1,0),0)),MAX($M$15:OFFSET(M50,-1,0))+1,INDEX($M$15:OFFSET(M50,-1,0),MATCH($A50,$A$15:OFFSET($A50,-1,0),0)))))</f>
        <v/>
      </c>
      <c r="N50" s="177" t="str">
        <f ca="1">IF($D50&lt;&gt;"Serviço","",IF(AUTOEVENTO="Manual",IF($A50=0,"&lt;-- defina o número do agrupador",OFFSET(EVENTOS!$D$14,$A50,0)),OFFSET($F$15,$A50,0)))</f>
        <v/>
      </c>
      <c r="O50" s="178"/>
      <c r="Q50" s="178"/>
      <c r="R50" s="179"/>
      <c r="S50" s="179"/>
      <c r="T50" s="179"/>
      <c r="U50" s="179"/>
      <c r="V50" s="179"/>
      <c r="W50" s="179"/>
      <c r="X50" s="179"/>
      <c r="Y50" s="179"/>
      <c r="Z50" s="180"/>
      <c r="AB50" s="544">
        <f ca="1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545">
        <f ca="1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0</v>
      </c>
      <c r="AD50" s="545">
        <f ca="1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545">
        <f ca="1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545">
        <f ca="1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545">
        <f ca="1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545">
        <f ca="1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545">
        <f ca="1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545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546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181">
        <f ca="1">IF($D50&lt;&gt;"Serviço",0,IF(AND(AUTOEVENTO="Manual",$M50=1),0,IF(OFFSET(CRONOPLE!$F$14,$M50,AM$13)="",10^12,OFFSET(CRONOPLE!$F$14,$M50,AM$13))))</f>
        <v>0</v>
      </c>
      <c r="AN50" s="181">
        <f ca="1">IF($D50&lt;&gt;"Serviço",0,IF(AND(AUTOEVENTO="Manual",$M50=1),0,IF(OFFSET(CRONOPLE!$F$14,$M50,AN$13)="",10^12,OFFSET(CRONOPLE!$F$14,$M50,AN$13))))</f>
        <v>0</v>
      </c>
      <c r="AO50" s="181">
        <f ca="1">IF($D50&lt;&gt;"Serviço",0,IF(AND(AUTOEVENTO="Manual",$M50=1),0,IF(OFFSET(CRONOPLE!$F$14,$M50,AO$13)="",10^12,OFFSET(CRONOPLE!$F$14,$M50,AO$13))))</f>
        <v>0</v>
      </c>
      <c r="AP50" s="181">
        <f ca="1">IF($D50&lt;&gt;"Serviço",0,IF(AND(AUTOEVENTO="Manual",$M50=1),0,IF(OFFSET(CRONOPLE!$F$14,$M50,AP$13)="",10^12,OFFSET(CRONOPLE!$F$14,$M50,AP$13))))</f>
        <v>0</v>
      </c>
      <c r="AQ50" s="181">
        <f ca="1">IF($D50&lt;&gt;"Serviço",0,IF(AND(AUTOEVENTO="Manual",$M50=1),0,IF(OFFSET(CRONOPLE!$F$14,$M50,AQ$13)="",10^12,OFFSET(CRONOPLE!$F$14,$M50,AQ$13))))</f>
        <v>0</v>
      </c>
      <c r="AR50" s="181">
        <f ca="1">IF($D50&lt;&gt;"Serviço",0,IF(AND(AUTOEVENTO="Manual",$M50=1),0,IF(OFFSET(CRONOPLE!$F$14,$M50,AR$13)="",10^12,OFFSET(CRONOPLE!$F$14,$M50,AR$13))))</f>
        <v>0</v>
      </c>
      <c r="AS50" s="181">
        <f ca="1">IF($D50&lt;&gt;"Serviço",0,IF(AND(AUTOEVENTO="Manual",$M50=1),0,IF(OFFSET(CRONOPLE!$F$14,$M50,AS$13)="",10^12,OFFSET(CRONOPLE!$F$14,$M50,AS$13))))</f>
        <v>0</v>
      </c>
      <c r="AT50" s="181">
        <f ca="1">IF($D50&lt;&gt;"Serviço",0,IF(AND(AUTOEVENTO="Manual",$M50=1),0,IF(OFFSET(CRONOPLE!$F$14,$M50,AT$13)="",10^12,OFFSET(CRONOPLE!$F$14,$M50,AT$13))))</f>
        <v>0</v>
      </c>
      <c r="AU50" s="181">
        <f ca="1">IF($D50&lt;&gt;"Serviço",0,IF(AND(AUTOEVENTO="Manual",$M50=1),0,IF(OFFSET(CRONOPLE!$F$14,$M50,AU$13)="",10^12,OFFSET(CRONOPLE!$F$14,$M50,AU$13))))</f>
        <v>0</v>
      </c>
      <c r="AV50" s="181">
        <f ca="1">IF($D50&lt;&gt;"Serviço",0,IF(AND(AUTOEVENTO="Manual",$M50=1),0,IF(OFFSET(CRONOPLE!$F$14,$M50,AV$13)="",10^12,OFFSET(CRONOPLE!$F$14,$M50,AV$13))))</f>
        <v>0</v>
      </c>
      <c r="AX50" s="182">
        <f ca="1">IF($D50&lt;&gt;"Serviço",0,IF(OR(AND(AUTOEVENTO="Manual",$M50=1),$M50&gt;(ROW(PLE.lastrow)-ROW(PLE.firstrow))),0,IF(OFFSET(PLE!$G$14,$M50,AX$13)="",10^12,OFFSET(PLE!$G$14,$M50,AX$13))))</f>
        <v>0</v>
      </c>
      <c r="AY50" s="182">
        <f ca="1">IF($D50&lt;&gt;"Serviço",0,IF(OR(AND(AUTOEVENTO="Manual",$M50=1),$M50&gt;(ROW(PLE.lastrow)-ROW(PLE.firstrow))),0,IF(OFFSET(PLE!$G$14,$M50,AY$13)="",10^12,OFFSET(PLE!$G$14,$M50,AY$13))))</f>
        <v>0</v>
      </c>
      <c r="AZ50" s="182">
        <f ca="1">IF($D50&lt;&gt;"Serviço",0,IF(OR(AND(AUTOEVENTO="Manual",$M50=1),$M50&gt;(ROW(PLE.lastrow)-ROW(PLE.firstrow))),0,IF(OFFSET(PLE!$G$14,$M50,AZ$13)="",10^12,OFFSET(PLE!$G$14,$M50,AZ$13))))</f>
        <v>0</v>
      </c>
      <c r="BA50" s="182">
        <f ca="1">IF($D50&lt;&gt;"Serviço",0,IF(OR(AND(AUTOEVENTO="Manual",$M50=1),$M50&gt;(ROW(PLE.lastrow)-ROW(PLE.firstrow))),0,IF(OFFSET(PLE!$G$14,$M50,BA$13)="",10^12,OFFSET(PLE!$G$14,$M50,BA$13))))</f>
        <v>0</v>
      </c>
      <c r="BB50" s="182">
        <f ca="1">IF($D50&lt;&gt;"Serviço",0,IF(OR(AND(AUTOEVENTO="Manual",$M50=1),$M50&gt;(ROW(PLE.lastrow)-ROW(PLE.firstrow))),0,IF(OFFSET(PLE!$G$14,$M50,BB$13)="",10^12,OFFSET(PLE!$G$14,$M50,BB$13))))</f>
        <v>0</v>
      </c>
      <c r="BC50" s="182">
        <f ca="1">IF($D50&lt;&gt;"Serviço",0,IF(OR(AND(AUTOEVENTO="Manual",$M50=1),$M50&gt;(ROW(PLE.lastrow)-ROW(PLE.firstrow))),0,IF(OFFSET(PLE!$G$14,$M50,BC$13)="",10^12,OFFSET(PLE!$G$14,$M50,BC$13))))</f>
        <v>0</v>
      </c>
      <c r="BD50" s="182">
        <f ca="1">IF($D50&lt;&gt;"Serviço",0,IF(OR(AND(AUTOEVENTO="Manual",$M50=1),$M50&gt;(ROW(PLE.lastrow)-ROW(PLE.firstrow))),0,IF(OFFSET(PLE!$G$14,$M50,BD$13)="",10^12,OFFSET(PLE!$G$14,$M50,BD$13))))</f>
        <v>0</v>
      </c>
      <c r="BE50" s="182">
        <f ca="1">IF($D50&lt;&gt;"Serviço",0,IF(OR(AND(AUTOEVENTO="Manual",$M50=1),$M50&gt;(ROW(PLE.lastrow)-ROW(PLE.firstrow))),0,IF(OFFSET(PLE!$G$14,$M50,BE$13)="",10^12,OFFSET(PLE!$G$14,$M50,BE$13))))</f>
        <v>0</v>
      </c>
      <c r="BF50" s="182">
        <f ca="1">IF($D50&lt;&gt;"Serviço",0,IF(OR(AND(AUTOEVENTO="Manual",$M50=1),$M50&gt;(ROW(PLE.lastrow)-ROW(PLE.firstrow))),0,IF(OFFSET(PLE!$G$14,$M50,BF$13)="",10^12,OFFSET(PLE!$G$14,$M50,BF$13))))</f>
        <v>0</v>
      </c>
      <c r="BG50" s="182">
        <f ca="1">IF($D50&lt;&gt;"Serviço",0,IF(OR(AND(AUTOEVENTO="Manual",$M50=1),$M50&gt;(ROW(PLE.lastrow)-ROW(PLE.firstrow))),0,IF(OFFSET(PLE!$G$14,$M50,BG$13)="",10^12,OFFSET(PLE!$G$14,$M50,BG$13))))</f>
        <v>0</v>
      </c>
    </row>
    <row r="51" spans="1:59" ht="12.75" x14ac:dyDescent="0.2">
      <c r="A51" s="7" t="str">
        <f t="shared" ca="1" si="8"/>
        <v>36.</v>
      </c>
      <c r="B51" s="7">
        <f ca="1">OFFSET(ORÇAMENTO!C$15,ROW(B51)-ROW(B$15),0)</f>
        <v>2</v>
      </c>
      <c r="C51" s="7" t="str">
        <f ca="1">OFFSET(ORÇAMENTO!L$15,ROW(C51)-ROW(C$15),0)</f>
        <v>F</v>
      </c>
      <c r="D51" s="118" t="str">
        <f ca="1">OFFSET(ORÇAMENTO!N$15,ROW(D51)-ROW(D$15),0)</f>
        <v>Nível 2</v>
      </c>
      <c r="E51" s="119" t="str">
        <f ca="1">OFFSET(ORÇAMENTO!O$15,ROW(E51)-ROW(E$15),0)</f>
        <v>4.1.</v>
      </c>
      <c r="F51" s="172" t="str">
        <f ca="1">OFFSET(ORÇAMENTO!R$15,ROW(F51)-ROW(F$15),0)</f>
        <v>ALVENARIA</v>
      </c>
      <c r="G51" s="173" t="str">
        <f ca="1">IF($D51&lt;&gt;"Serviço","",OFFSET(ORÇAMENTO!S$15,ROW(G51)-ROW(G$15),0))</f>
        <v/>
      </c>
      <c r="H51" s="124">
        <f ca="1">IF($D51&lt;&gt;"Serviço",0,IF(ACOMPANHAMENTO="BM",ROUND(OFFSET(ORÇAMENTO!AJ$15,ROW(H51)-ROW(H$15),0),15-13*ORÇAMENTO!$AF$7),SUMPRODUCT(($Q$12:$AA$12&lt;&gt;"")*ROUND($Q51:$AA51,15-13*ORÇAMENTO!$AF$7))))</f>
        <v>0</v>
      </c>
      <c r="I51" s="561"/>
      <c r="K51" s="174"/>
      <c r="L51" s="175" t="s">
        <v>255</v>
      </c>
      <c r="M51" s="176" t="str">
        <f ca="1">IF($D51&lt;&gt;"Serviço","",IF(AUTOEVENTO="manual",$A51,IF(ISERROR(MATCH($A51,$A$15:OFFSET($A51,-1,0),0)),MAX($M$15:OFFSET(M51,-1,0))+1,INDEX($M$15:OFFSET(M51,-1,0),MATCH($A51,$A$15:OFFSET($A51,-1,0),0)))))</f>
        <v/>
      </c>
      <c r="N51" s="177" t="str">
        <f ca="1">IF($D51&lt;&gt;"Serviço","",IF(AUTOEVENTO="Manual",IF($A51=0,"&lt;-- defina o número do agrupador",OFFSET(EVENTOS!$D$14,$A51,0)),OFFSET($F$15,$A51,0)))</f>
        <v/>
      </c>
      <c r="O51" s="178"/>
      <c r="Q51" s="178"/>
      <c r="R51" s="179"/>
      <c r="S51" s="179"/>
      <c r="T51" s="179"/>
      <c r="U51" s="179"/>
      <c r="V51" s="179"/>
      <c r="W51" s="179"/>
      <c r="X51" s="179"/>
      <c r="Y51" s="179"/>
      <c r="Z51" s="180"/>
      <c r="AB51" s="544">
        <f ca="1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545">
        <f ca="1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0</v>
      </c>
      <c r="AD51" s="545">
        <f ca="1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545">
        <f ca="1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545">
        <f ca="1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545">
        <f ca="1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545">
        <f ca="1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545">
        <f ca="1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545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546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181">
        <f ca="1">IF($D51&lt;&gt;"Serviço",0,IF(AND(AUTOEVENTO="Manual",$M51=1),0,IF(OFFSET(CRONOPLE!$F$14,$M51,AM$13)="",10^12,OFFSET(CRONOPLE!$F$14,$M51,AM$13))))</f>
        <v>0</v>
      </c>
      <c r="AN51" s="181">
        <f ca="1">IF($D51&lt;&gt;"Serviço",0,IF(AND(AUTOEVENTO="Manual",$M51=1),0,IF(OFFSET(CRONOPLE!$F$14,$M51,AN$13)="",10^12,OFFSET(CRONOPLE!$F$14,$M51,AN$13))))</f>
        <v>0</v>
      </c>
      <c r="AO51" s="181">
        <f ca="1">IF($D51&lt;&gt;"Serviço",0,IF(AND(AUTOEVENTO="Manual",$M51=1),0,IF(OFFSET(CRONOPLE!$F$14,$M51,AO$13)="",10^12,OFFSET(CRONOPLE!$F$14,$M51,AO$13))))</f>
        <v>0</v>
      </c>
      <c r="AP51" s="181">
        <f ca="1">IF($D51&lt;&gt;"Serviço",0,IF(AND(AUTOEVENTO="Manual",$M51=1),0,IF(OFFSET(CRONOPLE!$F$14,$M51,AP$13)="",10^12,OFFSET(CRONOPLE!$F$14,$M51,AP$13))))</f>
        <v>0</v>
      </c>
      <c r="AQ51" s="181">
        <f ca="1">IF($D51&lt;&gt;"Serviço",0,IF(AND(AUTOEVENTO="Manual",$M51=1),0,IF(OFFSET(CRONOPLE!$F$14,$M51,AQ$13)="",10^12,OFFSET(CRONOPLE!$F$14,$M51,AQ$13))))</f>
        <v>0</v>
      </c>
      <c r="AR51" s="181">
        <f ca="1">IF($D51&lt;&gt;"Serviço",0,IF(AND(AUTOEVENTO="Manual",$M51=1),0,IF(OFFSET(CRONOPLE!$F$14,$M51,AR$13)="",10^12,OFFSET(CRONOPLE!$F$14,$M51,AR$13))))</f>
        <v>0</v>
      </c>
      <c r="AS51" s="181">
        <f ca="1">IF($D51&lt;&gt;"Serviço",0,IF(AND(AUTOEVENTO="Manual",$M51=1),0,IF(OFFSET(CRONOPLE!$F$14,$M51,AS$13)="",10^12,OFFSET(CRONOPLE!$F$14,$M51,AS$13))))</f>
        <v>0</v>
      </c>
      <c r="AT51" s="181">
        <f ca="1">IF($D51&lt;&gt;"Serviço",0,IF(AND(AUTOEVENTO="Manual",$M51=1),0,IF(OFFSET(CRONOPLE!$F$14,$M51,AT$13)="",10^12,OFFSET(CRONOPLE!$F$14,$M51,AT$13))))</f>
        <v>0</v>
      </c>
      <c r="AU51" s="181">
        <f ca="1">IF($D51&lt;&gt;"Serviço",0,IF(AND(AUTOEVENTO="Manual",$M51=1),0,IF(OFFSET(CRONOPLE!$F$14,$M51,AU$13)="",10^12,OFFSET(CRONOPLE!$F$14,$M51,AU$13))))</f>
        <v>0</v>
      </c>
      <c r="AV51" s="181">
        <f ca="1">IF($D51&lt;&gt;"Serviço",0,IF(AND(AUTOEVENTO="Manual",$M51=1),0,IF(OFFSET(CRONOPLE!$F$14,$M51,AV$13)="",10^12,OFFSET(CRONOPLE!$F$14,$M51,AV$13))))</f>
        <v>0</v>
      </c>
      <c r="AX51" s="182">
        <f ca="1">IF($D51&lt;&gt;"Serviço",0,IF(OR(AND(AUTOEVENTO="Manual",$M51=1),$M51&gt;(ROW(PLE.lastrow)-ROW(PLE.firstrow))),0,IF(OFFSET(PLE!$G$14,$M51,AX$13)="",10^12,OFFSET(PLE!$G$14,$M51,AX$13))))</f>
        <v>0</v>
      </c>
      <c r="AY51" s="182">
        <f ca="1">IF($D51&lt;&gt;"Serviço",0,IF(OR(AND(AUTOEVENTO="Manual",$M51=1),$M51&gt;(ROW(PLE.lastrow)-ROW(PLE.firstrow))),0,IF(OFFSET(PLE!$G$14,$M51,AY$13)="",10^12,OFFSET(PLE!$G$14,$M51,AY$13))))</f>
        <v>0</v>
      </c>
      <c r="AZ51" s="182">
        <f ca="1">IF($D51&lt;&gt;"Serviço",0,IF(OR(AND(AUTOEVENTO="Manual",$M51=1),$M51&gt;(ROW(PLE.lastrow)-ROW(PLE.firstrow))),0,IF(OFFSET(PLE!$G$14,$M51,AZ$13)="",10^12,OFFSET(PLE!$G$14,$M51,AZ$13))))</f>
        <v>0</v>
      </c>
      <c r="BA51" s="182">
        <f ca="1">IF($D51&lt;&gt;"Serviço",0,IF(OR(AND(AUTOEVENTO="Manual",$M51=1),$M51&gt;(ROW(PLE.lastrow)-ROW(PLE.firstrow))),0,IF(OFFSET(PLE!$G$14,$M51,BA$13)="",10^12,OFFSET(PLE!$G$14,$M51,BA$13))))</f>
        <v>0</v>
      </c>
      <c r="BB51" s="182">
        <f ca="1">IF($D51&lt;&gt;"Serviço",0,IF(OR(AND(AUTOEVENTO="Manual",$M51=1),$M51&gt;(ROW(PLE.lastrow)-ROW(PLE.firstrow))),0,IF(OFFSET(PLE!$G$14,$M51,BB$13)="",10^12,OFFSET(PLE!$G$14,$M51,BB$13))))</f>
        <v>0</v>
      </c>
      <c r="BC51" s="182">
        <f ca="1">IF($D51&lt;&gt;"Serviço",0,IF(OR(AND(AUTOEVENTO="Manual",$M51=1),$M51&gt;(ROW(PLE.lastrow)-ROW(PLE.firstrow))),0,IF(OFFSET(PLE!$G$14,$M51,BC$13)="",10^12,OFFSET(PLE!$G$14,$M51,BC$13))))</f>
        <v>0</v>
      </c>
      <c r="BD51" s="182">
        <f ca="1">IF($D51&lt;&gt;"Serviço",0,IF(OR(AND(AUTOEVENTO="Manual",$M51=1),$M51&gt;(ROW(PLE.lastrow)-ROW(PLE.firstrow))),0,IF(OFFSET(PLE!$G$14,$M51,BD$13)="",10^12,OFFSET(PLE!$G$14,$M51,BD$13))))</f>
        <v>0</v>
      </c>
      <c r="BE51" s="182">
        <f ca="1">IF($D51&lt;&gt;"Serviço",0,IF(OR(AND(AUTOEVENTO="Manual",$M51=1),$M51&gt;(ROW(PLE.lastrow)-ROW(PLE.firstrow))),0,IF(OFFSET(PLE!$G$14,$M51,BE$13)="",10^12,OFFSET(PLE!$G$14,$M51,BE$13))))</f>
        <v>0</v>
      </c>
      <c r="BF51" s="182">
        <f ca="1">IF($D51&lt;&gt;"Serviço",0,IF(OR(AND(AUTOEVENTO="Manual",$M51=1),$M51&gt;(ROW(PLE.lastrow)-ROW(PLE.firstrow))),0,IF(OFFSET(PLE!$G$14,$M51,BF$13)="",10^12,OFFSET(PLE!$G$14,$M51,BF$13))))</f>
        <v>0</v>
      </c>
      <c r="BG51" s="182">
        <f ca="1">IF($D51&lt;&gt;"Serviço",0,IF(OR(AND(AUTOEVENTO="Manual",$M51=1),$M51&gt;(ROW(PLE.lastrow)-ROW(PLE.firstrow))),0,IF(OFFSET(PLE!$G$14,$M51,BG$13)="",10^12,OFFSET(PLE!$G$14,$M51,BG$13))))</f>
        <v>0</v>
      </c>
    </row>
    <row r="52" spans="1:59" ht="51" x14ac:dyDescent="0.2">
      <c r="A52" s="7" t="str">
        <f t="shared" ca="1" si="8"/>
        <v>36</v>
      </c>
      <c r="B52" s="7" t="str">
        <f ca="1">OFFSET(ORÇAMENTO!C$15,ROW(B52)-ROW(B$15),0)</f>
        <v>S</v>
      </c>
      <c r="C52" s="7" t="str">
        <f ca="1">OFFSET(ORÇAMENTO!L$15,ROW(C52)-ROW(C$15),0)</f>
        <v>F</v>
      </c>
      <c r="D52" s="118" t="str">
        <f ca="1">OFFSET(ORÇAMENTO!N$15,ROW(D52)-ROW(D$15),0)</f>
        <v>Serviço</v>
      </c>
      <c r="E52" s="119" t="str">
        <f ca="1">OFFSET(ORÇAMENTO!O$15,ROW(E52)-ROW(E$15),0)</f>
        <v>4.1.1.</v>
      </c>
      <c r="F52" s="172" t="str">
        <f ca="1">OFFSET(ORÇAMENTO!R$15,ROW(F52)-ROW(F$15),0)</f>
        <v>ALVENARIA DE VEDAÇÃO DE BLOCOS CERÂMICOS FURADOS NA HORIZONTAL DE 11,5X19X39 CM (ESPESSURA 11,5 CM) E ARGAMASSA DE ASSENTAMENTO COM PREPARO EM BETONEIRA. AF_08/2026</v>
      </c>
      <c r="G52" s="173" t="str">
        <f ca="1">IF($D52&lt;&gt;"Serviço","",OFFSET(ORÇAMENTO!S$15,ROW(G52)-ROW(G$15),0))</f>
        <v>M2</v>
      </c>
      <c r="H52" s="124">
        <f ca="1">IF($D52&lt;&gt;"Serviço",0,IF(ACOMPANHAMENTO="BM",ROUND(OFFSET(ORÇAMENTO!AJ$15,ROW(H52)-ROW(H$15),0),15-13*ORÇAMENTO!$AF$7),SUMPRODUCT(($Q$12:$AA$12&lt;&gt;"")*ROUND($Q52:$AA52,15-13*ORÇAMENTO!$AF$7))))</f>
        <v>256.48</v>
      </c>
      <c r="I52" s="561"/>
      <c r="K52" s="174"/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8</v>
      </c>
      <c r="N52" s="177" t="str">
        <f ca="1">IF($D52&lt;&gt;"Serviço","",IF(AUTOEVENTO="Manual",IF($A52=0,"&lt;-- defina o número do agrupador",OFFSET(EVENTOS!$D$14,$A52,0)),OFFSET($F$15,$A52,0)))</f>
        <v>ALVENARIA</v>
      </c>
      <c r="O52" s="178"/>
      <c r="Q52" s="178"/>
      <c r="R52" s="179"/>
      <c r="S52" s="179"/>
      <c r="T52" s="179"/>
      <c r="U52" s="179"/>
      <c r="V52" s="179"/>
      <c r="W52" s="179"/>
      <c r="X52" s="179"/>
      <c r="Y52" s="179"/>
      <c r="Z52" s="180"/>
      <c r="AB52" s="544">
        <f ca="1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545">
        <f ca="1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0</v>
      </c>
      <c r="AD52" s="545">
        <f ca="1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545">
        <f ca="1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545">
        <f ca="1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545">
        <f ca="1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545">
        <f ca="1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545">
        <f ca="1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545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546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181">
        <f ca="1">IF($D52&lt;&gt;"Serviço",0,IF(AND(AUTOEVENTO="Manual",$M52=1),0,IF(OFFSET(CRONOPLE!$F$14,$M52,AM$13)="",10^12,OFFSET(CRONOPLE!$F$14,$M52,AM$13))))</f>
        <v>1000000000000</v>
      </c>
      <c r="AN52" s="181">
        <f ca="1">IF($D52&lt;&gt;"Serviço",0,IF(AND(AUTOEVENTO="Manual",$M52=1),0,IF(OFFSET(CRONOPLE!$F$14,$M52,AN$13)="",10^12,OFFSET(CRONOPLE!$F$14,$M52,AN$13))))</f>
        <v>1000000000000</v>
      </c>
      <c r="AO52" s="181">
        <f ca="1">IF($D52&lt;&gt;"Serviço",0,IF(AND(AUTOEVENTO="Manual",$M52=1),0,IF(OFFSET(CRONOPLE!$F$14,$M52,AO$13)="",10^12,OFFSET(CRONOPLE!$F$14,$M52,AO$13))))</f>
        <v>1000000000000</v>
      </c>
      <c r="AP52" s="181">
        <f ca="1">IF($D52&lt;&gt;"Serviço",0,IF(AND(AUTOEVENTO="Manual",$M52=1),0,IF(OFFSET(CRONOPLE!$F$14,$M52,AP$13)="",10^12,OFFSET(CRONOPLE!$F$14,$M52,AP$13))))</f>
        <v>1000000000000</v>
      </c>
      <c r="AQ52" s="181">
        <f ca="1">IF($D52&lt;&gt;"Serviço",0,IF(AND(AUTOEVENTO="Manual",$M52=1),0,IF(OFFSET(CRONOPLE!$F$14,$M52,AQ$13)="",10^12,OFFSET(CRONOPLE!$F$14,$M52,AQ$13))))</f>
        <v>1000000000000</v>
      </c>
      <c r="AR52" s="181">
        <f ca="1">IF($D52&lt;&gt;"Serviço",0,IF(AND(AUTOEVENTO="Manual",$M52=1),0,IF(OFFSET(CRONOPLE!$F$14,$M52,AR$13)="",10^12,OFFSET(CRONOPLE!$F$14,$M52,AR$13))))</f>
        <v>1000000000000</v>
      </c>
      <c r="AS52" s="181">
        <f ca="1">IF($D52&lt;&gt;"Serviço",0,IF(AND(AUTOEVENTO="Manual",$M52=1),0,IF(OFFSET(CRONOPLE!$F$14,$M52,AS$13)="",10^12,OFFSET(CRONOPLE!$F$14,$M52,AS$13))))</f>
        <v>1000000000000</v>
      </c>
      <c r="AT52" s="181">
        <f ca="1">IF($D52&lt;&gt;"Serviço",0,IF(AND(AUTOEVENTO="Manual",$M52=1),0,IF(OFFSET(CRONOPLE!$F$14,$M52,AT$13)="",10^12,OFFSET(CRONOPLE!$F$14,$M52,AT$13))))</f>
        <v>1000000000000</v>
      </c>
      <c r="AU52" s="181">
        <f ca="1">IF($D52&lt;&gt;"Serviço",0,IF(AND(AUTOEVENTO="Manual",$M52=1),0,IF(OFFSET(CRONOPLE!$F$14,$M52,AU$13)="",10^12,OFFSET(CRONOPLE!$F$14,$M52,AU$13))))</f>
        <v>1000000000000</v>
      </c>
      <c r="AV52" s="181">
        <f ca="1">IF($D52&lt;&gt;"Serviço",0,IF(AND(AUTOEVENTO="Manual",$M52=1),0,IF(OFFSET(CRONOPLE!$F$14,$M52,AV$13)="",10^12,OFFSET(CRONOPLE!$F$14,$M52,AV$13))))</f>
        <v>1000000000000</v>
      </c>
      <c r="AX52" s="182">
        <f ca="1">IF($D52&lt;&gt;"Serviço",0,IF(OR(AND(AUTOEVENTO="Manual",$M52=1),$M52&gt;(ROW(PLE.lastrow)-ROW(PLE.firstrow))),0,IF(OFFSET(PLE!$G$14,$M52,AX$13)="",10^12,OFFSET(PLE!$G$14,$M52,AX$13))))</f>
        <v>1000000000000</v>
      </c>
      <c r="AY52" s="182">
        <f ca="1">IF($D52&lt;&gt;"Serviço",0,IF(OR(AND(AUTOEVENTO="Manual",$M52=1),$M52&gt;(ROW(PLE.lastrow)-ROW(PLE.firstrow))),0,IF(OFFSET(PLE!$G$14,$M52,AY$13)="",10^12,OFFSET(PLE!$G$14,$M52,AY$13))))</f>
        <v>1000000000000</v>
      </c>
      <c r="AZ52" s="182">
        <f ca="1">IF($D52&lt;&gt;"Serviço",0,IF(OR(AND(AUTOEVENTO="Manual",$M52=1),$M52&gt;(ROW(PLE.lastrow)-ROW(PLE.firstrow))),0,IF(OFFSET(PLE!$G$14,$M52,AZ$13)="",10^12,OFFSET(PLE!$G$14,$M52,AZ$13))))</f>
        <v>1000000000000</v>
      </c>
      <c r="BA52" s="182">
        <f ca="1">IF($D52&lt;&gt;"Serviço",0,IF(OR(AND(AUTOEVENTO="Manual",$M52=1),$M52&gt;(ROW(PLE.lastrow)-ROW(PLE.firstrow))),0,IF(OFFSET(PLE!$G$14,$M52,BA$13)="",10^12,OFFSET(PLE!$G$14,$M52,BA$13))))</f>
        <v>1000000000000</v>
      </c>
      <c r="BB52" s="182">
        <f ca="1">IF($D52&lt;&gt;"Serviço",0,IF(OR(AND(AUTOEVENTO="Manual",$M52=1),$M52&gt;(ROW(PLE.lastrow)-ROW(PLE.firstrow))),0,IF(OFFSET(PLE!$G$14,$M52,BB$13)="",10^12,OFFSET(PLE!$G$14,$M52,BB$13))))</f>
        <v>1000000000000</v>
      </c>
      <c r="BC52" s="182">
        <f ca="1">IF($D52&lt;&gt;"Serviço",0,IF(OR(AND(AUTOEVENTO="Manual",$M52=1),$M52&gt;(ROW(PLE.lastrow)-ROW(PLE.firstrow))),0,IF(OFFSET(PLE!$G$14,$M52,BC$13)="",10^12,OFFSET(PLE!$G$14,$M52,BC$13))))</f>
        <v>1000000000000</v>
      </c>
      <c r="BD52" s="182">
        <f ca="1">IF($D52&lt;&gt;"Serviço",0,IF(OR(AND(AUTOEVENTO="Manual",$M52=1),$M52&gt;(ROW(PLE.lastrow)-ROW(PLE.firstrow))),0,IF(OFFSET(PLE!$G$14,$M52,BD$13)="",10^12,OFFSET(PLE!$G$14,$M52,BD$13))))</f>
        <v>1000000000000</v>
      </c>
      <c r="BE52" s="182">
        <f ca="1">IF($D52&lt;&gt;"Serviço",0,IF(OR(AND(AUTOEVENTO="Manual",$M52=1),$M52&gt;(ROW(PLE.lastrow)-ROW(PLE.firstrow))),0,IF(OFFSET(PLE!$G$14,$M52,BE$13)="",10^12,OFFSET(PLE!$G$14,$M52,BE$13))))</f>
        <v>1000000000000</v>
      </c>
      <c r="BF52" s="182">
        <f ca="1">IF($D52&lt;&gt;"Serviço",0,IF(OR(AND(AUTOEVENTO="Manual",$M52=1),$M52&gt;(ROW(PLE.lastrow)-ROW(PLE.firstrow))),0,IF(OFFSET(PLE!$G$14,$M52,BF$13)="",10^12,OFFSET(PLE!$G$14,$M52,BF$13))))</f>
        <v>1000000000000</v>
      </c>
      <c r="BG52" s="18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51" x14ac:dyDescent="0.2">
      <c r="A53" s="7" t="str">
        <f t="shared" ca="1" si="8"/>
        <v>36</v>
      </c>
      <c r="B53" s="7" t="str">
        <f ca="1">OFFSET(ORÇAMENTO!C$15,ROW(B53)-ROW(B$15),0)</f>
        <v>S</v>
      </c>
      <c r="C53" s="7" t="str">
        <f ca="1">OFFSET(ORÇAMENTO!L$15,ROW(C53)-ROW(C$15),0)</f>
        <v>F</v>
      </c>
      <c r="D53" s="118" t="str">
        <f ca="1">OFFSET(ORÇAMENTO!N$15,ROW(D53)-ROW(D$15),0)</f>
        <v>Serviço</v>
      </c>
      <c r="E53" s="119" t="str">
        <f ca="1">OFFSET(ORÇAMENTO!O$15,ROW(E53)-ROW(E$15),0)</f>
        <v>4.1.2.</v>
      </c>
      <c r="F53" s="172" t="str">
        <f ca="1">OFFSET(ORÇAMENTO!R$15,ROW(F53)-ROW(F$15),0)</f>
        <v>EMBOÇO OU MASSA ÚNICA EM ARGAMASSA TRAÇO 1:2:8, PREPARO MECÂNICO COM BETONEIRA 400 L, APLICADA MANUALMENTE EM PANOS CEGOS DE FACHADA (SEM PRESENÇA DE VÃOS), ESPESSURA DE 25 MM. AF_08/2022</v>
      </c>
      <c r="G53" s="173" t="str">
        <f ca="1">IF($D53&lt;&gt;"Serviço","",OFFSET(ORÇAMENTO!S$15,ROW(G53)-ROW(G$15),0))</f>
        <v>M2</v>
      </c>
      <c r="H53" s="124">
        <f ca="1">IF($D53&lt;&gt;"Serviço",0,IF(ACOMPANHAMENTO="BM",ROUND(OFFSET(ORÇAMENTO!AJ$15,ROW(H53)-ROW(H$15),0),15-13*ORÇAMENTO!$AF$7),SUMPRODUCT(($Q$12:$AA$12&lt;&gt;"")*ROUND($Q53:$AA53,15-13*ORÇAMENTO!$AF$7))))</f>
        <v>153.30000000000001</v>
      </c>
      <c r="I53" s="561"/>
      <c r="K53" s="174"/>
      <c r="L53" s="175" t="s">
        <v>255</v>
      </c>
      <c r="M53" s="176">
        <f ca="1">IF($D53&lt;&gt;"Serviço","",IF(AUTOEVENTO="manual",$A53,IF(ISERROR(MATCH($A53,$A$15:OFFSET($A53,-1,0),0)),MAX($M$15:OFFSET(M53,-1,0))+1,INDEX($M$15:OFFSET(M53,-1,0),MATCH($A53,$A$15:OFFSET($A53,-1,0),0)))))</f>
        <v>8</v>
      </c>
      <c r="N53" s="177" t="str">
        <f ca="1">IF($D53&lt;&gt;"Serviço","",IF(AUTOEVENTO="Manual",IF($A53=0,"&lt;-- defina o número do agrupador",OFFSET(EVENTOS!$D$14,$A53,0)),OFFSET($F$15,$A53,0)))</f>
        <v>ALVENARIA</v>
      </c>
      <c r="O53" s="178"/>
      <c r="Q53" s="178"/>
      <c r="R53" s="179"/>
      <c r="S53" s="179"/>
      <c r="T53" s="179"/>
      <c r="U53" s="179"/>
      <c r="V53" s="179"/>
      <c r="W53" s="179"/>
      <c r="X53" s="179"/>
      <c r="Y53" s="179"/>
      <c r="Z53" s="180"/>
      <c r="AB53" s="544">
        <f ca="1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545">
        <f ca="1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545">
        <f ca="1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545">
        <f ca="1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545">
        <f ca="1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545">
        <f ca="1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545">
        <f ca="1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545">
        <f ca="1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545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546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181">
        <f ca="1">IF($D53&lt;&gt;"Serviço",0,IF(AND(AUTOEVENTO="Manual",$M53=1),0,IF(OFFSET(CRONOPLE!$F$14,$M53,AM$13)="",10^12,OFFSET(CRONOPLE!$F$14,$M53,AM$13))))</f>
        <v>1000000000000</v>
      </c>
      <c r="AN53" s="181">
        <f ca="1">IF($D53&lt;&gt;"Serviço",0,IF(AND(AUTOEVENTO="Manual",$M53=1),0,IF(OFFSET(CRONOPLE!$F$14,$M53,AN$13)="",10^12,OFFSET(CRONOPLE!$F$14,$M53,AN$13))))</f>
        <v>1000000000000</v>
      </c>
      <c r="AO53" s="181">
        <f ca="1">IF($D53&lt;&gt;"Serviço",0,IF(AND(AUTOEVENTO="Manual",$M53=1),0,IF(OFFSET(CRONOPLE!$F$14,$M53,AO$13)="",10^12,OFFSET(CRONOPLE!$F$14,$M53,AO$13))))</f>
        <v>1000000000000</v>
      </c>
      <c r="AP53" s="181">
        <f ca="1">IF($D53&lt;&gt;"Serviço",0,IF(AND(AUTOEVENTO="Manual",$M53=1),0,IF(OFFSET(CRONOPLE!$F$14,$M53,AP$13)="",10^12,OFFSET(CRONOPLE!$F$14,$M53,AP$13))))</f>
        <v>1000000000000</v>
      </c>
      <c r="AQ53" s="181">
        <f ca="1">IF($D53&lt;&gt;"Serviço",0,IF(AND(AUTOEVENTO="Manual",$M53=1),0,IF(OFFSET(CRONOPLE!$F$14,$M53,AQ$13)="",10^12,OFFSET(CRONOPLE!$F$14,$M53,AQ$13))))</f>
        <v>1000000000000</v>
      </c>
      <c r="AR53" s="181">
        <f ca="1">IF($D53&lt;&gt;"Serviço",0,IF(AND(AUTOEVENTO="Manual",$M53=1),0,IF(OFFSET(CRONOPLE!$F$14,$M53,AR$13)="",10^12,OFFSET(CRONOPLE!$F$14,$M53,AR$13))))</f>
        <v>1000000000000</v>
      </c>
      <c r="AS53" s="181">
        <f ca="1">IF($D53&lt;&gt;"Serviço",0,IF(AND(AUTOEVENTO="Manual",$M53=1),0,IF(OFFSET(CRONOPLE!$F$14,$M53,AS$13)="",10^12,OFFSET(CRONOPLE!$F$14,$M53,AS$13))))</f>
        <v>1000000000000</v>
      </c>
      <c r="AT53" s="181">
        <f ca="1">IF($D53&lt;&gt;"Serviço",0,IF(AND(AUTOEVENTO="Manual",$M53=1),0,IF(OFFSET(CRONOPLE!$F$14,$M53,AT$13)="",10^12,OFFSET(CRONOPLE!$F$14,$M53,AT$13))))</f>
        <v>1000000000000</v>
      </c>
      <c r="AU53" s="181">
        <f ca="1">IF($D53&lt;&gt;"Serviço",0,IF(AND(AUTOEVENTO="Manual",$M53=1),0,IF(OFFSET(CRONOPLE!$F$14,$M53,AU$13)="",10^12,OFFSET(CRONOPLE!$F$14,$M53,AU$13))))</f>
        <v>1000000000000</v>
      </c>
      <c r="AV53" s="181">
        <f ca="1">IF($D53&lt;&gt;"Serviço",0,IF(AND(AUTOEVENTO="Manual",$M53=1),0,IF(OFFSET(CRONOPLE!$F$14,$M53,AV$13)="",10^12,OFFSET(CRONOPLE!$F$14,$M53,AV$13))))</f>
        <v>1000000000000</v>
      </c>
      <c r="AX53" s="182">
        <f ca="1">IF($D53&lt;&gt;"Serviço",0,IF(OR(AND(AUTOEVENTO="Manual",$M53=1),$M53&gt;(ROW(PLE.lastrow)-ROW(PLE.firstrow))),0,IF(OFFSET(PLE!$G$14,$M53,AX$13)="",10^12,OFFSET(PLE!$G$14,$M53,AX$13))))</f>
        <v>1000000000000</v>
      </c>
      <c r="AY53" s="182">
        <f ca="1">IF($D53&lt;&gt;"Serviço",0,IF(OR(AND(AUTOEVENTO="Manual",$M53=1),$M53&gt;(ROW(PLE.lastrow)-ROW(PLE.firstrow))),0,IF(OFFSET(PLE!$G$14,$M53,AY$13)="",10^12,OFFSET(PLE!$G$14,$M53,AY$13))))</f>
        <v>1000000000000</v>
      </c>
      <c r="AZ53" s="182">
        <f ca="1">IF($D53&lt;&gt;"Serviço",0,IF(OR(AND(AUTOEVENTO="Manual",$M53=1),$M53&gt;(ROW(PLE.lastrow)-ROW(PLE.firstrow))),0,IF(OFFSET(PLE!$G$14,$M53,AZ$13)="",10^12,OFFSET(PLE!$G$14,$M53,AZ$13))))</f>
        <v>1000000000000</v>
      </c>
      <c r="BA53" s="182">
        <f ca="1">IF($D53&lt;&gt;"Serviço",0,IF(OR(AND(AUTOEVENTO="Manual",$M53=1),$M53&gt;(ROW(PLE.lastrow)-ROW(PLE.firstrow))),0,IF(OFFSET(PLE!$G$14,$M53,BA$13)="",10^12,OFFSET(PLE!$G$14,$M53,BA$13))))</f>
        <v>1000000000000</v>
      </c>
      <c r="BB53" s="182">
        <f ca="1">IF($D53&lt;&gt;"Serviço",0,IF(OR(AND(AUTOEVENTO="Manual",$M53=1),$M53&gt;(ROW(PLE.lastrow)-ROW(PLE.firstrow))),0,IF(OFFSET(PLE!$G$14,$M53,BB$13)="",10^12,OFFSET(PLE!$G$14,$M53,BB$13))))</f>
        <v>1000000000000</v>
      </c>
      <c r="BC53" s="182">
        <f ca="1">IF($D53&lt;&gt;"Serviço",0,IF(OR(AND(AUTOEVENTO="Manual",$M53=1),$M53&gt;(ROW(PLE.lastrow)-ROW(PLE.firstrow))),0,IF(OFFSET(PLE!$G$14,$M53,BC$13)="",10^12,OFFSET(PLE!$G$14,$M53,BC$13))))</f>
        <v>1000000000000</v>
      </c>
      <c r="BD53" s="182">
        <f ca="1">IF($D53&lt;&gt;"Serviço",0,IF(OR(AND(AUTOEVENTO="Manual",$M53=1),$M53&gt;(ROW(PLE.lastrow)-ROW(PLE.firstrow))),0,IF(OFFSET(PLE!$G$14,$M53,BD$13)="",10^12,OFFSET(PLE!$G$14,$M53,BD$13))))</f>
        <v>1000000000000</v>
      </c>
      <c r="BE53" s="182">
        <f ca="1">IF($D53&lt;&gt;"Serviço",0,IF(OR(AND(AUTOEVENTO="Manual",$M53=1),$M53&gt;(ROW(PLE.lastrow)-ROW(PLE.firstrow))),0,IF(OFFSET(PLE!$G$14,$M53,BE$13)="",10^12,OFFSET(PLE!$G$14,$M53,BE$13))))</f>
        <v>1000000000000</v>
      </c>
      <c r="BF53" s="182">
        <f ca="1">IF($D53&lt;&gt;"Serviço",0,IF(OR(AND(AUTOEVENTO="Manual",$M53=1),$M53&gt;(ROW(PLE.lastrow)-ROW(PLE.firstrow))),0,IF(OFFSET(PLE!$G$14,$M53,BF$13)="",10^12,OFFSET(PLE!$G$14,$M53,BF$13))))</f>
        <v>1000000000000</v>
      </c>
      <c r="BG53" s="182">
        <f ca="1">IF($D53&lt;&gt;"Serviço",0,IF(OR(AND(AUTOEVENTO="Manual",$M53=1),$M53&gt;(ROW(PLE.lastrow)-ROW(PLE.firstrow))),0,IF(OFFSET(PLE!$G$14,$M53,BG$13)="",10^12,OFFSET(PLE!$G$14,$M53,BG$13))))</f>
        <v>1000000000000</v>
      </c>
    </row>
    <row r="54" spans="1:59" ht="38.25" x14ac:dyDescent="0.2">
      <c r="A54" s="7" t="str">
        <f t="shared" ref="A54:A69" ca="1" si="10">IF(AUTOEVENTO="Manual",IF(K54&lt;&gt;"",MIN(VALUE(LEFT(K54,FIND(".",K54)-1)),COUNTA(EVENTOS.Lista)),0),IF(OR($B54&gt;AUTOEVENTO,$B54="S",$B54=0),SUBSTITUTE(OFFSET($A54,-1,0),IF($D54="Serviço",".",""),""),ROW(A54)-ROW($A$15)&amp;"."))</f>
        <v>36</v>
      </c>
      <c r="B54" s="7" t="str">
        <f ca="1">OFFSET(ORÇAMENTO!C$15,ROW(B54)-ROW(B$15),0)</f>
        <v>S</v>
      </c>
      <c r="C54" s="7" t="str">
        <f ca="1">OFFSET(ORÇAMENTO!L$15,ROW(C54)-ROW(C$15),0)</f>
        <v>F</v>
      </c>
      <c r="D54" s="118" t="str">
        <f ca="1">OFFSET(ORÇAMENTO!N$15,ROW(D54)-ROW(D$15),0)</f>
        <v>Serviço</v>
      </c>
      <c r="E54" s="119" t="str">
        <f ca="1">OFFSET(ORÇAMENTO!O$15,ROW(E54)-ROW(E$15),0)</f>
        <v>4.1.3.</v>
      </c>
      <c r="F54" s="172" t="str">
        <f ca="1">OFFSET(ORÇAMENTO!R$15,ROW(F54)-ROW(F$15),0)</f>
        <v>MASSA ÚNICA, EM ARGAMASSA TRAÇO 1:2:8 PREPARO MECÂNICO, APLICADA MANUALMENTE EM PAREDES INTERNAS DE AMBIENTES COM ÁREA MAIOR QUE 10M², E = 10MM, COM TALISCAS. AF_03/2024</v>
      </c>
      <c r="G54" s="173" t="str">
        <f ca="1">IF($D54&lt;&gt;"Serviço","",OFFSET(ORÇAMENTO!S$15,ROW(G54)-ROW(G$15),0))</f>
        <v>M2</v>
      </c>
      <c r="H54" s="124">
        <f ca="1">IF($D54&lt;&gt;"Serviço",0,IF(ACOMPANHAMENTO="BM",ROUND(OFFSET(ORÇAMENTO!AJ$15,ROW(H54)-ROW(H$15),0),15-13*ORÇAMENTO!$AF$7),SUMPRODUCT(($Q$12:$AA$12&lt;&gt;"")*ROUND($Q54:$AA54,15-13*ORÇAMENTO!$AF$7))))</f>
        <v>328.44</v>
      </c>
      <c r="I54" s="561"/>
      <c r="K54" s="174"/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8</v>
      </c>
      <c r="N54" s="177" t="str">
        <f ca="1">IF($D54&lt;&gt;"Serviço","",IF(AUTOEVENTO="Manual",IF($A54=0,"&lt;-- defina o número do agrupador",OFFSET(EVENTOS!$D$14,$A54,0)),OFFSET($F$15,$A54,0)))</f>
        <v>ALVENARIA</v>
      </c>
      <c r="O54" s="178"/>
      <c r="Q54" s="178"/>
      <c r="R54" s="179"/>
      <c r="S54" s="179"/>
      <c r="T54" s="179"/>
      <c r="U54" s="179"/>
      <c r="V54" s="179"/>
      <c r="W54" s="179"/>
      <c r="X54" s="179"/>
      <c r="Y54" s="179"/>
      <c r="Z54" s="180"/>
      <c r="AB54" s="544">
        <f ca="1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545">
        <f ca="1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0</v>
      </c>
      <c r="AD54" s="545">
        <f ca="1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545">
        <f ca="1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545">
        <f ca="1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545">
        <f ca="1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545">
        <f ca="1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545">
        <f ca="1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545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546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181">
        <f ca="1">IF($D54&lt;&gt;"Serviço",0,IF(AND(AUTOEVENTO="Manual",$M54=1),0,IF(OFFSET(CRONOPLE!$F$14,$M54,AM$13)="",10^12,OFFSET(CRONOPLE!$F$14,$M54,AM$13))))</f>
        <v>1000000000000</v>
      </c>
      <c r="AN54" s="181">
        <f ca="1">IF($D54&lt;&gt;"Serviço",0,IF(AND(AUTOEVENTO="Manual",$M54=1),0,IF(OFFSET(CRONOPLE!$F$14,$M54,AN$13)="",10^12,OFFSET(CRONOPLE!$F$14,$M54,AN$13))))</f>
        <v>1000000000000</v>
      </c>
      <c r="AO54" s="181">
        <f ca="1">IF($D54&lt;&gt;"Serviço",0,IF(AND(AUTOEVENTO="Manual",$M54=1),0,IF(OFFSET(CRONOPLE!$F$14,$M54,AO$13)="",10^12,OFFSET(CRONOPLE!$F$14,$M54,AO$13))))</f>
        <v>1000000000000</v>
      </c>
      <c r="AP54" s="181">
        <f ca="1">IF($D54&lt;&gt;"Serviço",0,IF(AND(AUTOEVENTO="Manual",$M54=1),0,IF(OFFSET(CRONOPLE!$F$14,$M54,AP$13)="",10^12,OFFSET(CRONOPLE!$F$14,$M54,AP$13))))</f>
        <v>1000000000000</v>
      </c>
      <c r="AQ54" s="181">
        <f ca="1">IF($D54&lt;&gt;"Serviço",0,IF(AND(AUTOEVENTO="Manual",$M54=1),0,IF(OFFSET(CRONOPLE!$F$14,$M54,AQ$13)="",10^12,OFFSET(CRONOPLE!$F$14,$M54,AQ$13))))</f>
        <v>1000000000000</v>
      </c>
      <c r="AR54" s="181">
        <f ca="1">IF($D54&lt;&gt;"Serviço",0,IF(AND(AUTOEVENTO="Manual",$M54=1),0,IF(OFFSET(CRONOPLE!$F$14,$M54,AR$13)="",10^12,OFFSET(CRONOPLE!$F$14,$M54,AR$13))))</f>
        <v>1000000000000</v>
      </c>
      <c r="AS54" s="181">
        <f ca="1">IF($D54&lt;&gt;"Serviço",0,IF(AND(AUTOEVENTO="Manual",$M54=1),0,IF(OFFSET(CRONOPLE!$F$14,$M54,AS$13)="",10^12,OFFSET(CRONOPLE!$F$14,$M54,AS$13))))</f>
        <v>1000000000000</v>
      </c>
      <c r="AT54" s="181">
        <f ca="1">IF($D54&lt;&gt;"Serviço",0,IF(AND(AUTOEVENTO="Manual",$M54=1),0,IF(OFFSET(CRONOPLE!$F$14,$M54,AT$13)="",10^12,OFFSET(CRONOPLE!$F$14,$M54,AT$13))))</f>
        <v>1000000000000</v>
      </c>
      <c r="AU54" s="181">
        <f ca="1">IF($D54&lt;&gt;"Serviço",0,IF(AND(AUTOEVENTO="Manual",$M54=1),0,IF(OFFSET(CRONOPLE!$F$14,$M54,AU$13)="",10^12,OFFSET(CRONOPLE!$F$14,$M54,AU$13))))</f>
        <v>1000000000000</v>
      </c>
      <c r="AV54" s="181">
        <f ca="1">IF($D54&lt;&gt;"Serviço",0,IF(AND(AUTOEVENTO="Manual",$M54=1),0,IF(OFFSET(CRONOPLE!$F$14,$M54,AV$13)="",10^12,OFFSET(CRONOPLE!$F$14,$M54,AV$13))))</f>
        <v>1000000000000</v>
      </c>
      <c r="AX54" s="182">
        <f ca="1">IF($D54&lt;&gt;"Serviço",0,IF(OR(AND(AUTOEVENTO="Manual",$M54=1),$M54&gt;(ROW(PLE.lastrow)-ROW(PLE.firstrow))),0,IF(OFFSET(PLE!$G$14,$M54,AX$13)="",10^12,OFFSET(PLE!$G$14,$M54,AX$13))))</f>
        <v>1000000000000</v>
      </c>
      <c r="AY54" s="182">
        <f ca="1">IF($D54&lt;&gt;"Serviço",0,IF(OR(AND(AUTOEVENTO="Manual",$M54=1),$M54&gt;(ROW(PLE.lastrow)-ROW(PLE.firstrow))),0,IF(OFFSET(PLE!$G$14,$M54,AY$13)="",10^12,OFFSET(PLE!$G$14,$M54,AY$13))))</f>
        <v>1000000000000</v>
      </c>
      <c r="AZ54" s="182">
        <f ca="1">IF($D54&lt;&gt;"Serviço",0,IF(OR(AND(AUTOEVENTO="Manual",$M54=1),$M54&gt;(ROW(PLE.lastrow)-ROW(PLE.firstrow))),0,IF(OFFSET(PLE!$G$14,$M54,AZ$13)="",10^12,OFFSET(PLE!$G$14,$M54,AZ$13))))</f>
        <v>1000000000000</v>
      </c>
      <c r="BA54" s="182">
        <f ca="1">IF($D54&lt;&gt;"Serviço",0,IF(OR(AND(AUTOEVENTO="Manual",$M54=1),$M54&gt;(ROW(PLE.lastrow)-ROW(PLE.firstrow))),0,IF(OFFSET(PLE!$G$14,$M54,BA$13)="",10^12,OFFSET(PLE!$G$14,$M54,BA$13))))</f>
        <v>1000000000000</v>
      </c>
      <c r="BB54" s="182">
        <f ca="1">IF($D54&lt;&gt;"Serviço",0,IF(OR(AND(AUTOEVENTO="Manual",$M54=1),$M54&gt;(ROW(PLE.lastrow)-ROW(PLE.firstrow))),0,IF(OFFSET(PLE!$G$14,$M54,BB$13)="",10^12,OFFSET(PLE!$G$14,$M54,BB$13))))</f>
        <v>1000000000000</v>
      </c>
      <c r="BC54" s="182">
        <f ca="1">IF($D54&lt;&gt;"Serviço",0,IF(OR(AND(AUTOEVENTO="Manual",$M54=1),$M54&gt;(ROW(PLE.lastrow)-ROW(PLE.firstrow))),0,IF(OFFSET(PLE!$G$14,$M54,BC$13)="",10^12,OFFSET(PLE!$G$14,$M54,BC$13))))</f>
        <v>1000000000000</v>
      </c>
      <c r="BD54" s="182">
        <f ca="1">IF($D54&lt;&gt;"Serviço",0,IF(OR(AND(AUTOEVENTO="Manual",$M54=1),$M54&gt;(ROW(PLE.lastrow)-ROW(PLE.firstrow))),0,IF(OFFSET(PLE!$G$14,$M54,BD$13)="",10^12,OFFSET(PLE!$G$14,$M54,BD$13))))</f>
        <v>1000000000000</v>
      </c>
      <c r="BE54" s="182">
        <f ca="1">IF($D54&lt;&gt;"Serviço",0,IF(OR(AND(AUTOEVENTO="Manual",$M54=1),$M54&gt;(ROW(PLE.lastrow)-ROW(PLE.firstrow))),0,IF(OFFSET(PLE!$G$14,$M54,BE$13)="",10^12,OFFSET(PLE!$G$14,$M54,BE$13))))</f>
        <v>1000000000000</v>
      </c>
      <c r="BF54" s="182">
        <f ca="1">IF($D54&lt;&gt;"Serviço",0,IF(OR(AND(AUTOEVENTO="Manual",$M54=1),$M54&gt;(ROW(PLE.lastrow)-ROW(PLE.firstrow))),0,IF(OFFSET(PLE!$G$14,$M54,BF$13)="",10^12,OFFSET(PLE!$G$14,$M54,BF$13))))</f>
        <v>1000000000000</v>
      </c>
      <c r="BG54" s="18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25.5" x14ac:dyDescent="0.2">
      <c r="A55" s="7" t="str">
        <f t="shared" ca="1" si="10"/>
        <v>36</v>
      </c>
      <c r="B55" s="7" t="str">
        <f ca="1">OFFSET(ORÇAMENTO!C$15,ROW(B55)-ROW(B$15),0)</f>
        <v>S</v>
      </c>
      <c r="C55" s="7" t="str">
        <f ca="1">OFFSET(ORÇAMENTO!L$15,ROW(C55)-ROW(C$15),0)</f>
        <v>F</v>
      </c>
      <c r="D55" s="118" t="str">
        <f ca="1">OFFSET(ORÇAMENTO!N$15,ROW(D55)-ROW(D$15),0)</f>
        <v>Serviço</v>
      </c>
      <c r="E55" s="119" t="str">
        <f ca="1">OFFSET(ORÇAMENTO!O$15,ROW(E55)-ROW(E$15),0)</f>
        <v>4.1.4.</v>
      </c>
      <c r="F55" s="172" t="str">
        <f ca="1">OFFSET(ORÇAMENTO!R$15,ROW(F55)-ROW(F$15),0)</f>
        <v>CONTRAVERGA MOLDADA IN LOCO EM CONCRETO, ESPESSURA DE *15* CM. AF_03/2024</v>
      </c>
      <c r="G55" s="173" t="str">
        <f ca="1">IF($D55&lt;&gt;"Serviço","",OFFSET(ORÇAMENTO!S$15,ROW(G55)-ROW(G$15),0))</f>
        <v>M</v>
      </c>
      <c r="H55" s="124">
        <f ca="1">IF($D55&lt;&gt;"Serviço",0,IF(ACOMPANHAMENTO="BM",ROUND(OFFSET(ORÇAMENTO!AJ$15,ROW(H55)-ROW(H$15),0),15-13*ORÇAMENTO!$AF$7),SUMPRODUCT(($Q$12:$AA$12&lt;&gt;"")*ROUND($Q55:$AA55,15-13*ORÇAMENTO!$AF$7))))</f>
        <v>25.8</v>
      </c>
      <c r="I55" s="561"/>
      <c r="K55" s="174"/>
      <c r="L55" s="175" t="s">
        <v>255</v>
      </c>
      <c r="M55" s="176">
        <f ca="1">IF($D55&lt;&gt;"Serviço","",IF(AUTOEVENTO="manual",$A55,IF(ISERROR(MATCH($A55,$A$15:OFFSET($A55,-1,0),0)),MAX($M$15:OFFSET(M55,-1,0))+1,INDEX($M$15:OFFSET(M55,-1,0),MATCH($A55,$A$15:OFFSET($A55,-1,0),0)))))</f>
        <v>8</v>
      </c>
      <c r="N55" s="177" t="str">
        <f ca="1">IF($D55&lt;&gt;"Serviço","",IF(AUTOEVENTO="Manual",IF($A55=0,"&lt;-- defina o número do agrupador",OFFSET(EVENTOS!$D$14,$A55,0)),OFFSET($F$15,$A55,0)))</f>
        <v>ALVENARIA</v>
      </c>
      <c r="O55" s="178"/>
      <c r="Q55" s="178"/>
      <c r="R55" s="179"/>
      <c r="S55" s="179"/>
      <c r="T55" s="179"/>
      <c r="U55" s="179"/>
      <c r="V55" s="179"/>
      <c r="W55" s="179"/>
      <c r="X55" s="179"/>
      <c r="Y55" s="179"/>
      <c r="Z55" s="180"/>
      <c r="AB55" s="544">
        <f ca="1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545">
        <f ca="1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0</v>
      </c>
      <c r="AD55" s="545">
        <f ca="1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545">
        <f ca="1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545">
        <f ca="1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545">
        <f ca="1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545">
        <f ca="1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545">
        <f ca="1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545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546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181">
        <f ca="1">IF($D55&lt;&gt;"Serviço",0,IF(AND(AUTOEVENTO="Manual",$M55=1),0,IF(OFFSET(CRONOPLE!$F$14,$M55,AM$13)="",10^12,OFFSET(CRONOPLE!$F$14,$M55,AM$13))))</f>
        <v>1000000000000</v>
      </c>
      <c r="AN55" s="181">
        <f ca="1">IF($D55&lt;&gt;"Serviço",0,IF(AND(AUTOEVENTO="Manual",$M55=1),0,IF(OFFSET(CRONOPLE!$F$14,$M55,AN$13)="",10^12,OFFSET(CRONOPLE!$F$14,$M55,AN$13))))</f>
        <v>1000000000000</v>
      </c>
      <c r="AO55" s="181">
        <f ca="1">IF($D55&lt;&gt;"Serviço",0,IF(AND(AUTOEVENTO="Manual",$M55=1),0,IF(OFFSET(CRONOPLE!$F$14,$M55,AO$13)="",10^12,OFFSET(CRONOPLE!$F$14,$M55,AO$13))))</f>
        <v>1000000000000</v>
      </c>
      <c r="AP55" s="181">
        <f ca="1">IF($D55&lt;&gt;"Serviço",0,IF(AND(AUTOEVENTO="Manual",$M55=1),0,IF(OFFSET(CRONOPLE!$F$14,$M55,AP$13)="",10^12,OFFSET(CRONOPLE!$F$14,$M55,AP$13))))</f>
        <v>1000000000000</v>
      </c>
      <c r="AQ55" s="181">
        <f ca="1">IF($D55&lt;&gt;"Serviço",0,IF(AND(AUTOEVENTO="Manual",$M55=1),0,IF(OFFSET(CRONOPLE!$F$14,$M55,AQ$13)="",10^12,OFFSET(CRONOPLE!$F$14,$M55,AQ$13))))</f>
        <v>1000000000000</v>
      </c>
      <c r="AR55" s="181">
        <f ca="1">IF($D55&lt;&gt;"Serviço",0,IF(AND(AUTOEVENTO="Manual",$M55=1),0,IF(OFFSET(CRONOPLE!$F$14,$M55,AR$13)="",10^12,OFFSET(CRONOPLE!$F$14,$M55,AR$13))))</f>
        <v>1000000000000</v>
      </c>
      <c r="AS55" s="181">
        <f ca="1">IF($D55&lt;&gt;"Serviço",0,IF(AND(AUTOEVENTO="Manual",$M55=1),0,IF(OFFSET(CRONOPLE!$F$14,$M55,AS$13)="",10^12,OFFSET(CRONOPLE!$F$14,$M55,AS$13))))</f>
        <v>1000000000000</v>
      </c>
      <c r="AT55" s="181">
        <f ca="1">IF($D55&lt;&gt;"Serviço",0,IF(AND(AUTOEVENTO="Manual",$M55=1),0,IF(OFFSET(CRONOPLE!$F$14,$M55,AT$13)="",10^12,OFFSET(CRONOPLE!$F$14,$M55,AT$13))))</f>
        <v>1000000000000</v>
      </c>
      <c r="AU55" s="181">
        <f ca="1">IF($D55&lt;&gt;"Serviço",0,IF(AND(AUTOEVENTO="Manual",$M55=1),0,IF(OFFSET(CRONOPLE!$F$14,$M55,AU$13)="",10^12,OFFSET(CRONOPLE!$F$14,$M55,AU$13))))</f>
        <v>1000000000000</v>
      </c>
      <c r="AV55" s="181">
        <f ca="1">IF($D55&lt;&gt;"Serviço",0,IF(AND(AUTOEVENTO="Manual",$M55=1),0,IF(OFFSET(CRONOPLE!$F$14,$M55,AV$13)="",10^12,OFFSET(CRONOPLE!$F$14,$M55,AV$13))))</f>
        <v>1000000000000</v>
      </c>
      <c r="AX55" s="182">
        <f ca="1">IF($D55&lt;&gt;"Serviço",0,IF(OR(AND(AUTOEVENTO="Manual",$M55=1),$M55&gt;(ROW(PLE.lastrow)-ROW(PLE.firstrow))),0,IF(OFFSET(PLE!$G$14,$M55,AX$13)="",10^12,OFFSET(PLE!$G$14,$M55,AX$13))))</f>
        <v>1000000000000</v>
      </c>
      <c r="AY55" s="182">
        <f ca="1">IF($D55&lt;&gt;"Serviço",0,IF(OR(AND(AUTOEVENTO="Manual",$M55=1),$M55&gt;(ROW(PLE.lastrow)-ROW(PLE.firstrow))),0,IF(OFFSET(PLE!$G$14,$M55,AY$13)="",10^12,OFFSET(PLE!$G$14,$M55,AY$13))))</f>
        <v>1000000000000</v>
      </c>
      <c r="AZ55" s="182">
        <f ca="1">IF($D55&lt;&gt;"Serviço",0,IF(OR(AND(AUTOEVENTO="Manual",$M55=1),$M55&gt;(ROW(PLE.lastrow)-ROW(PLE.firstrow))),0,IF(OFFSET(PLE!$G$14,$M55,AZ$13)="",10^12,OFFSET(PLE!$G$14,$M55,AZ$13))))</f>
        <v>1000000000000</v>
      </c>
      <c r="BA55" s="182">
        <f ca="1">IF($D55&lt;&gt;"Serviço",0,IF(OR(AND(AUTOEVENTO="Manual",$M55=1),$M55&gt;(ROW(PLE.lastrow)-ROW(PLE.firstrow))),0,IF(OFFSET(PLE!$G$14,$M55,BA$13)="",10^12,OFFSET(PLE!$G$14,$M55,BA$13))))</f>
        <v>1000000000000</v>
      </c>
      <c r="BB55" s="182">
        <f ca="1">IF($D55&lt;&gt;"Serviço",0,IF(OR(AND(AUTOEVENTO="Manual",$M55=1),$M55&gt;(ROW(PLE.lastrow)-ROW(PLE.firstrow))),0,IF(OFFSET(PLE!$G$14,$M55,BB$13)="",10^12,OFFSET(PLE!$G$14,$M55,BB$13))))</f>
        <v>1000000000000</v>
      </c>
      <c r="BC55" s="182">
        <f ca="1">IF($D55&lt;&gt;"Serviço",0,IF(OR(AND(AUTOEVENTO="Manual",$M55=1),$M55&gt;(ROW(PLE.lastrow)-ROW(PLE.firstrow))),0,IF(OFFSET(PLE!$G$14,$M55,BC$13)="",10^12,OFFSET(PLE!$G$14,$M55,BC$13))))</f>
        <v>1000000000000</v>
      </c>
      <c r="BD55" s="182">
        <f ca="1">IF($D55&lt;&gt;"Serviço",0,IF(OR(AND(AUTOEVENTO="Manual",$M55=1),$M55&gt;(ROW(PLE.lastrow)-ROW(PLE.firstrow))),0,IF(OFFSET(PLE!$G$14,$M55,BD$13)="",10^12,OFFSET(PLE!$G$14,$M55,BD$13))))</f>
        <v>1000000000000</v>
      </c>
      <c r="BE55" s="182">
        <f ca="1">IF($D55&lt;&gt;"Serviço",0,IF(OR(AND(AUTOEVENTO="Manual",$M55=1),$M55&gt;(ROW(PLE.lastrow)-ROW(PLE.firstrow))),0,IF(OFFSET(PLE!$G$14,$M55,BE$13)="",10^12,OFFSET(PLE!$G$14,$M55,BE$13))))</f>
        <v>1000000000000</v>
      </c>
      <c r="BF55" s="182">
        <f ca="1">IF($D55&lt;&gt;"Serviço",0,IF(OR(AND(AUTOEVENTO="Manual",$M55=1),$M55&gt;(ROW(PLE.lastrow)-ROW(PLE.firstrow))),0,IF(OFFSET(PLE!$G$14,$M55,BF$13)="",10^12,OFFSET(PLE!$G$14,$M55,BF$13))))</f>
        <v>1000000000000</v>
      </c>
      <c r="BG55" s="182">
        <f ca="1">IF($D55&lt;&gt;"Serviço",0,IF(OR(AND(AUTOEVENTO="Manual",$M55=1),$M55&gt;(ROW(PLE.lastrow)-ROW(PLE.firstrow))),0,IF(OFFSET(PLE!$G$14,$M55,BG$13)="",10^12,OFFSET(PLE!$G$14,$M55,BG$13))))</f>
        <v>1000000000000</v>
      </c>
    </row>
    <row r="56" spans="1:59" ht="25.5" x14ac:dyDescent="0.2">
      <c r="A56" s="7" t="str">
        <f t="shared" ca="1" si="10"/>
        <v>36</v>
      </c>
      <c r="B56" s="7" t="str">
        <f ca="1">OFFSET(ORÇAMENTO!C$15,ROW(B56)-ROW(B$15),0)</f>
        <v>S</v>
      </c>
      <c r="C56" s="7" t="str">
        <f ca="1">OFFSET(ORÇAMENTO!L$15,ROW(C56)-ROW(C$15),0)</f>
        <v>F</v>
      </c>
      <c r="D56" s="118" t="str">
        <f ca="1">OFFSET(ORÇAMENTO!N$15,ROW(D56)-ROW(D$15),0)</f>
        <v>Serviço</v>
      </c>
      <c r="E56" s="119" t="str">
        <f ca="1">OFFSET(ORÇAMENTO!O$15,ROW(E56)-ROW(E$15),0)</f>
        <v>4.1.5.</v>
      </c>
      <c r="F56" s="172" t="str">
        <f ca="1">OFFSET(ORÇAMENTO!R$15,ROW(F56)-ROW(F$15),0)</f>
        <v>VERGA MOLDADA IN LOCO EM CONCRETO, ESPESSURA DE *15* CM. AF_03/2024</v>
      </c>
      <c r="G56" s="173" t="str">
        <f ca="1">IF($D56&lt;&gt;"Serviço","",OFFSET(ORÇAMENTO!S$15,ROW(G56)-ROW(G$15),0))</f>
        <v>M</v>
      </c>
      <c r="H56" s="124">
        <f ca="1">IF($D56&lt;&gt;"Serviço",0,IF(ACOMPANHAMENTO="BM",ROUND(OFFSET(ORÇAMENTO!AJ$15,ROW(H56)-ROW(H$15),0),15-13*ORÇAMENTO!$AF$7),SUMPRODUCT(($Q$12:$AA$12&lt;&gt;"")*ROUND($Q56:$AA56,15-13*ORÇAMENTO!$AF$7))))</f>
        <v>13</v>
      </c>
      <c r="I56" s="561"/>
      <c r="K56" s="174"/>
      <c r="L56" s="175" t="s">
        <v>255</v>
      </c>
      <c r="M56" s="176">
        <f ca="1">IF($D56&lt;&gt;"Serviço","",IF(AUTOEVENTO="manual",$A56,IF(ISERROR(MATCH($A56,$A$15:OFFSET($A56,-1,0),0)),MAX($M$15:OFFSET(M56,-1,0))+1,INDEX($M$15:OFFSET(M56,-1,0),MATCH($A56,$A$15:OFFSET($A56,-1,0),0)))))</f>
        <v>8</v>
      </c>
      <c r="N56" s="177" t="str">
        <f ca="1">IF($D56&lt;&gt;"Serviço","",IF(AUTOEVENTO="Manual",IF($A56=0,"&lt;-- defina o número do agrupador",OFFSET(EVENTOS!$D$14,$A56,0)),OFFSET($F$15,$A56,0)))</f>
        <v>ALVENARIA</v>
      </c>
      <c r="O56" s="178"/>
      <c r="Q56" s="178"/>
      <c r="R56" s="179"/>
      <c r="S56" s="179"/>
      <c r="T56" s="179"/>
      <c r="U56" s="179"/>
      <c r="V56" s="179"/>
      <c r="W56" s="179"/>
      <c r="X56" s="179"/>
      <c r="Y56" s="179"/>
      <c r="Z56" s="180"/>
      <c r="AB56" s="544">
        <f ca="1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545">
        <f ca="1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0</v>
      </c>
      <c r="AD56" s="545">
        <f ca="1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545">
        <f ca="1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545">
        <f ca="1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545">
        <f ca="1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545">
        <f ca="1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545">
        <f ca="1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545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546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181">
        <f ca="1">IF($D56&lt;&gt;"Serviço",0,IF(AND(AUTOEVENTO="Manual",$M56=1),0,IF(OFFSET(CRONOPLE!$F$14,$M56,AM$13)="",10^12,OFFSET(CRONOPLE!$F$14,$M56,AM$13))))</f>
        <v>1000000000000</v>
      </c>
      <c r="AN56" s="181">
        <f ca="1">IF($D56&lt;&gt;"Serviço",0,IF(AND(AUTOEVENTO="Manual",$M56=1),0,IF(OFFSET(CRONOPLE!$F$14,$M56,AN$13)="",10^12,OFFSET(CRONOPLE!$F$14,$M56,AN$13))))</f>
        <v>1000000000000</v>
      </c>
      <c r="AO56" s="181">
        <f ca="1">IF($D56&lt;&gt;"Serviço",0,IF(AND(AUTOEVENTO="Manual",$M56=1),0,IF(OFFSET(CRONOPLE!$F$14,$M56,AO$13)="",10^12,OFFSET(CRONOPLE!$F$14,$M56,AO$13))))</f>
        <v>1000000000000</v>
      </c>
      <c r="AP56" s="181">
        <f ca="1">IF($D56&lt;&gt;"Serviço",0,IF(AND(AUTOEVENTO="Manual",$M56=1),0,IF(OFFSET(CRONOPLE!$F$14,$M56,AP$13)="",10^12,OFFSET(CRONOPLE!$F$14,$M56,AP$13))))</f>
        <v>1000000000000</v>
      </c>
      <c r="AQ56" s="181">
        <f ca="1">IF($D56&lt;&gt;"Serviço",0,IF(AND(AUTOEVENTO="Manual",$M56=1),0,IF(OFFSET(CRONOPLE!$F$14,$M56,AQ$13)="",10^12,OFFSET(CRONOPLE!$F$14,$M56,AQ$13))))</f>
        <v>1000000000000</v>
      </c>
      <c r="AR56" s="181">
        <f ca="1">IF($D56&lt;&gt;"Serviço",0,IF(AND(AUTOEVENTO="Manual",$M56=1),0,IF(OFFSET(CRONOPLE!$F$14,$M56,AR$13)="",10^12,OFFSET(CRONOPLE!$F$14,$M56,AR$13))))</f>
        <v>1000000000000</v>
      </c>
      <c r="AS56" s="181">
        <f ca="1">IF($D56&lt;&gt;"Serviço",0,IF(AND(AUTOEVENTO="Manual",$M56=1),0,IF(OFFSET(CRONOPLE!$F$14,$M56,AS$13)="",10^12,OFFSET(CRONOPLE!$F$14,$M56,AS$13))))</f>
        <v>1000000000000</v>
      </c>
      <c r="AT56" s="181">
        <f ca="1">IF($D56&lt;&gt;"Serviço",0,IF(AND(AUTOEVENTO="Manual",$M56=1),0,IF(OFFSET(CRONOPLE!$F$14,$M56,AT$13)="",10^12,OFFSET(CRONOPLE!$F$14,$M56,AT$13))))</f>
        <v>1000000000000</v>
      </c>
      <c r="AU56" s="181">
        <f ca="1">IF($D56&lt;&gt;"Serviço",0,IF(AND(AUTOEVENTO="Manual",$M56=1),0,IF(OFFSET(CRONOPLE!$F$14,$M56,AU$13)="",10^12,OFFSET(CRONOPLE!$F$14,$M56,AU$13))))</f>
        <v>1000000000000</v>
      </c>
      <c r="AV56" s="181">
        <f ca="1">IF($D56&lt;&gt;"Serviço",0,IF(AND(AUTOEVENTO="Manual",$M56=1),0,IF(OFFSET(CRONOPLE!$F$14,$M56,AV$13)="",10^12,OFFSET(CRONOPLE!$F$14,$M56,AV$13))))</f>
        <v>1000000000000</v>
      </c>
      <c r="AX56" s="182">
        <f ca="1">IF($D56&lt;&gt;"Serviço",0,IF(OR(AND(AUTOEVENTO="Manual",$M56=1),$M56&gt;(ROW(PLE.lastrow)-ROW(PLE.firstrow))),0,IF(OFFSET(PLE!$G$14,$M56,AX$13)="",10^12,OFFSET(PLE!$G$14,$M56,AX$13))))</f>
        <v>1000000000000</v>
      </c>
      <c r="AY56" s="182">
        <f ca="1">IF($D56&lt;&gt;"Serviço",0,IF(OR(AND(AUTOEVENTO="Manual",$M56=1),$M56&gt;(ROW(PLE.lastrow)-ROW(PLE.firstrow))),0,IF(OFFSET(PLE!$G$14,$M56,AY$13)="",10^12,OFFSET(PLE!$G$14,$M56,AY$13))))</f>
        <v>1000000000000</v>
      </c>
      <c r="AZ56" s="182">
        <f ca="1">IF($D56&lt;&gt;"Serviço",0,IF(OR(AND(AUTOEVENTO="Manual",$M56=1),$M56&gt;(ROW(PLE.lastrow)-ROW(PLE.firstrow))),0,IF(OFFSET(PLE!$G$14,$M56,AZ$13)="",10^12,OFFSET(PLE!$G$14,$M56,AZ$13))))</f>
        <v>1000000000000</v>
      </c>
      <c r="BA56" s="182">
        <f ca="1">IF($D56&lt;&gt;"Serviço",0,IF(OR(AND(AUTOEVENTO="Manual",$M56=1),$M56&gt;(ROW(PLE.lastrow)-ROW(PLE.firstrow))),0,IF(OFFSET(PLE!$G$14,$M56,BA$13)="",10^12,OFFSET(PLE!$G$14,$M56,BA$13))))</f>
        <v>1000000000000</v>
      </c>
      <c r="BB56" s="182">
        <f ca="1">IF($D56&lt;&gt;"Serviço",0,IF(OR(AND(AUTOEVENTO="Manual",$M56=1),$M56&gt;(ROW(PLE.lastrow)-ROW(PLE.firstrow))),0,IF(OFFSET(PLE!$G$14,$M56,BB$13)="",10^12,OFFSET(PLE!$G$14,$M56,BB$13))))</f>
        <v>1000000000000</v>
      </c>
      <c r="BC56" s="182">
        <f ca="1">IF($D56&lt;&gt;"Serviço",0,IF(OR(AND(AUTOEVENTO="Manual",$M56=1),$M56&gt;(ROW(PLE.lastrow)-ROW(PLE.firstrow))),0,IF(OFFSET(PLE!$G$14,$M56,BC$13)="",10^12,OFFSET(PLE!$G$14,$M56,BC$13))))</f>
        <v>1000000000000</v>
      </c>
      <c r="BD56" s="182">
        <f ca="1">IF($D56&lt;&gt;"Serviço",0,IF(OR(AND(AUTOEVENTO="Manual",$M56=1),$M56&gt;(ROW(PLE.lastrow)-ROW(PLE.firstrow))),0,IF(OFFSET(PLE!$G$14,$M56,BD$13)="",10^12,OFFSET(PLE!$G$14,$M56,BD$13))))</f>
        <v>1000000000000</v>
      </c>
      <c r="BE56" s="182">
        <f ca="1">IF($D56&lt;&gt;"Serviço",0,IF(OR(AND(AUTOEVENTO="Manual",$M56=1),$M56&gt;(ROW(PLE.lastrow)-ROW(PLE.firstrow))),0,IF(OFFSET(PLE!$G$14,$M56,BE$13)="",10^12,OFFSET(PLE!$G$14,$M56,BE$13))))</f>
        <v>1000000000000</v>
      </c>
      <c r="BF56" s="182">
        <f ca="1">IF($D56&lt;&gt;"Serviço",0,IF(OR(AND(AUTOEVENTO="Manual",$M56=1),$M56&gt;(ROW(PLE.lastrow)-ROW(PLE.firstrow))),0,IF(OFFSET(PLE!$G$14,$M56,BF$13)="",10^12,OFFSET(PLE!$G$14,$M56,BF$13))))</f>
        <v>1000000000000</v>
      </c>
      <c r="BG56" s="182">
        <f ca="1">IF($D56&lt;&gt;"Serviço",0,IF(OR(AND(AUTOEVENTO="Manual",$M56=1),$M56&gt;(ROW(PLE.lastrow)-ROW(PLE.firstrow))),0,IF(OFFSET(PLE!$G$14,$M56,BG$13)="",10^12,OFFSET(PLE!$G$14,$M56,BG$13))))</f>
        <v>1000000000000</v>
      </c>
    </row>
    <row r="57" spans="1:59" ht="51" x14ac:dyDescent="0.2">
      <c r="A57" s="7" t="str">
        <f t="shared" ca="1" si="10"/>
        <v>36</v>
      </c>
      <c r="B57" s="7" t="str">
        <f ca="1">OFFSET(ORÇAMENTO!C$15,ROW(B57)-ROW(B$15),0)</f>
        <v>S</v>
      </c>
      <c r="C57" s="7" t="str">
        <f ca="1">OFFSET(ORÇAMENTO!L$15,ROW(C57)-ROW(C$15),0)</f>
        <v>F</v>
      </c>
      <c r="D57" s="118" t="str">
        <f ca="1">OFFSET(ORÇAMENTO!N$15,ROW(D57)-ROW(D$15),0)</f>
        <v>Serviço</v>
      </c>
      <c r="E57" s="119" t="str">
        <f ca="1">OFFSET(ORÇAMENTO!O$15,ROW(E57)-ROW(E$15),0)</f>
        <v>4.1.6.</v>
      </c>
      <c r="F57" s="172" t="str">
        <f ca="1">OFFSET(ORÇAMENTO!R$15,ROW(F57)-ROW(F$15),0)</f>
        <v>CHAPISCO APLICADO EM ALVENARIA (COM PRESENÇA DE VÃOS) E ESTRUTURAS DE CONCRETO DE FACHADA, COM EQUIPAMENTO DE PROJEÇÃO. ARGAMASSA TRAÇO 1:3 COM PREPARO EM BETONEIRA 400 L. AF_10/2022</v>
      </c>
      <c r="G57" s="173" t="str">
        <f ca="1">IF($D57&lt;&gt;"Serviço","",OFFSET(ORÇAMENTO!S$15,ROW(G57)-ROW(G$15),0))</f>
        <v>M2</v>
      </c>
      <c r="H57" s="124">
        <f ca="1">IF($D57&lt;&gt;"Serviço",0,IF(ACOMPANHAMENTO="BM",ROUND(OFFSET(ORÇAMENTO!AJ$15,ROW(H57)-ROW(H$15),0),15-13*ORÇAMENTO!$AF$7),SUMPRODUCT(($Q$12:$AA$12&lt;&gt;"")*ROUND($Q57:$AA57,15-13*ORÇAMENTO!$AF$7))))</f>
        <v>481.74</v>
      </c>
      <c r="I57" s="561"/>
      <c r="K57" s="174"/>
      <c r="L57" s="175" t="s">
        <v>255</v>
      </c>
      <c r="M57" s="176">
        <f ca="1">IF($D57&lt;&gt;"Serviço","",IF(AUTOEVENTO="manual",$A57,IF(ISERROR(MATCH($A57,$A$15:OFFSET($A57,-1,0),0)),MAX($M$15:OFFSET(M57,-1,0))+1,INDEX($M$15:OFFSET(M57,-1,0),MATCH($A57,$A$15:OFFSET($A57,-1,0),0)))))</f>
        <v>8</v>
      </c>
      <c r="N57" s="177" t="str">
        <f ca="1">IF($D57&lt;&gt;"Serviço","",IF(AUTOEVENTO="Manual",IF($A57=0,"&lt;-- defina o número do agrupador",OFFSET(EVENTOS!$D$14,$A57,0)),OFFSET($F$15,$A57,0)))</f>
        <v>ALVENARIA</v>
      </c>
      <c r="O57" s="178"/>
      <c r="Q57" s="178"/>
      <c r="R57" s="179"/>
      <c r="S57" s="179"/>
      <c r="T57" s="179"/>
      <c r="U57" s="179"/>
      <c r="V57" s="179"/>
      <c r="W57" s="179"/>
      <c r="X57" s="179"/>
      <c r="Y57" s="179"/>
      <c r="Z57" s="180"/>
      <c r="AB57" s="544">
        <f ca="1">IF(AND($D57="Serviço",AB$12&lt;&gt;0,$H57&gt;0,OR(AUTOEVENTO&lt;&gt;"manual",$M57&lt;&gt;1)),
IF(Import.TipoArredondamento&lt;&gt;"TransfereGOV",
ROUND(OFFSET($P57,0,AB$13),15-13*ORÇAMENTO!$AF$7)/$H57*OFFSET(ORÇAMENTO!$X$15,ROW(AB57)-ROW(AB$15),0),
ROUND(ROUND(OFFSET($P57,0,AB$13),15-13*ORÇAMENTO!$AF$7)*OFFSET(ORÇAMENTO!$W$15,ROW(AB57)-ROW(AB$15),0),15-13*ORÇAMENTO!$AF$11)),0)</f>
        <v>0</v>
      </c>
      <c r="AC57" s="545">
        <f ca="1">IF(AND($D57="Serviço",AC$12&lt;&gt;0,$H57&gt;0,OR(AUTOEVENTO&lt;&gt;"manual",$M57&lt;&gt;1)),
IF(Import.TipoArredondamento&lt;&gt;"TransfereGOV",
ROUND(OFFSET($P57,0,AC$13),15-13*ORÇAMENTO!$AF$7)/$H57*OFFSET(ORÇAMENTO!$X$15,ROW(AC57)-ROW(AC$15),0),
ROUND(ROUND(OFFSET($P57,0,AC$13),15-13*ORÇAMENTO!$AF$7)*OFFSET(ORÇAMENTO!$W$15,ROW(AC57)-ROW(AC$15),0),15-13*ORÇAMENTO!$AF$11)),0)</f>
        <v>0</v>
      </c>
      <c r="AD57" s="545">
        <f ca="1">IF(AND($D57="Serviço",AD$12&lt;&gt;0,$H57&gt;0,OR(AUTOEVENTO&lt;&gt;"manual",$M57&lt;&gt;1)),
IF(Import.TipoArredondamento&lt;&gt;"TransfereGOV",
ROUND(OFFSET($P57,0,AD$13),15-13*ORÇAMENTO!$AF$7)/$H57*OFFSET(ORÇAMENTO!$X$15,ROW(AD57)-ROW(AD$15),0),
ROUND(ROUND(OFFSET($P57,0,AD$13),15-13*ORÇAMENTO!$AF$7)*OFFSET(ORÇAMENTO!$W$15,ROW(AD57)-ROW(AD$15),0),15-13*ORÇAMENTO!$AF$11)),0)</f>
        <v>0</v>
      </c>
      <c r="AE57" s="545">
        <f ca="1">IF(AND($D57="Serviço",AE$12&lt;&gt;0,$H57&gt;0,OR(AUTOEVENTO&lt;&gt;"manual",$M57&lt;&gt;1)),
IF(Import.TipoArredondamento&lt;&gt;"TransfereGOV",
ROUND(OFFSET($P57,0,AE$13),15-13*ORÇAMENTO!$AF$7)/$H57*OFFSET(ORÇAMENTO!$X$15,ROW(AE57)-ROW(AE$15),0),
ROUND(ROUND(OFFSET($P57,0,AE$13),15-13*ORÇAMENTO!$AF$7)*OFFSET(ORÇAMENTO!$W$15,ROW(AE57)-ROW(AE$15),0),15-13*ORÇAMENTO!$AF$11)),0)</f>
        <v>0</v>
      </c>
      <c r="AF57" s="545">
        <f ca="1">IF(AND($D57="Serviço",AF$12&lt;&gt;0,$H57&gt;0,OR(AUTOEVENTO&lt;&gt;"manual",$M57&lt;&gt;1)),
IF(Import.TipoArredondamento&lt;&gt;"TransfereGOV",
ROUND(OFFSET($P57,0,AF$13),15-13*ORÇAMENTO!$AF$7)/$H57*OFFSET(ORÇAMENTO!$X$15,ROW(AF57)-ROW(AF$15),0),
ROUND(ROUND(OFFSET($P57,0,AF$13),15-13*ORÇAMENTO!$AF$7)*OFFSET(ORÇAMENTO!$W$15,ROW(AF57)-ROW(AF$15),0),15-13*ORÇAMENTO!$AF$11)),0)</f>
        <v>0</v>
      </c>
      <c r="AG57" s="545">
        <f ca="1">IF(AND($D57="Serviço",AG$12&lt;&gt;0,$H57&gt;0,OR(AUTOEVENTO&lt;&gt;"manual",$M57&lt;&gt;1)),
IF(Import.TipoArredondamento&lt;&gt;"TransfereGOV",
ROUND(OFFSET($P57,0,AG$13),15-13*ORÇAMENTO!$AF$7)/$H57*OFFSET(ORÇAMENTO!$X$15,ROW(AG57)-ROW(AG$15),0),
ROUND(ROUND(OFFSET($P57,0,AG$13),15-13*ORÇAMENTO!$AF$7)*OFFSET(ORÇAMENTO!$W$15,ROW(AG57)-ROW(AG$15),0),15-13*ORÇAMENTO!$AF$11)),0)</f>
        <v>0</v>
      </c>
      <c r="AH57" s="545">
        <f ca="1">IF(AND($D57="Serviço",AH$12&lt;&gt;0,$H57&gt;0,OR(AUTOEVENTO&lt;&gt;"manual",$M57&lt;&gt;1)),
IF(Import.TipoArredondamento&lt;&gt;"TransfereGOV",
ROUND(OFFSET($P57,0,AH$13),15-13*ORÇAMENTO!$AF$7)/$H57*OFFSET(ORÇAMENTO!$X$15,ROW(AH57)-ROW(AH$15),0),
ROUND(ROUND(OFFSET($P57,0,AH$13),15-13*ORÇAMENTO!$AF$7)*OFFSET(ORÇAMENTO!$W$15,ROW(AH57)-ROW(AH$15),0),15-13*ORÇAMENTO!$AF$11)),0)</f>
        <v>0</v>
      </c>
      <c r="AI57" s="545">
        <f ca="1">IF(AND($D57="Serviço",AI$12&lt;&gt;0,$H57&gt;0,OR(AUTOEVENTO&lt;&gt;"manual",$M57&lt;&gt;1)),
IF(Import.TipoArredondamento&lt;&gt;"TransfereGOV",
ROUND(OFFSET($P57,0,AI$13),15-13*ORÇAMENTO!$AF$7)/$H57*OFFSET(ORÇAMENTO!$X$15,ROW(AI57)-ROW(AI$15),0),
ROUND(ROUND(OFFSET($P57,0,AI$13),15-13*ORÇAMENTO!$AF$7)*OFFSET(ORÇAMENTO!$W$15,ROW(AI57)-ROW(AI$15),0),15-13*ORÇAMENTO!$AF$11)),0)</f>
        <v>0</v>
      </c>
      <c r="AJ57" s="545">
        <f ca="1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546">
        <f ca="1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M57" s="181">
        <f ca="1">IF($D57&lt;&gt;"Serviço",0,IF(AND(AUTOEVENTO="Manual",$M57=1),0,IF(OFFSET(CRONOPLE!$F$14,$M57,AM$13)="",10^12,OFFSET(CRONOPLE!$F$14,$M57,AM$13))))</f>
        <v>1000000000000</v>
      </c>
      <c r="AN57" s="181">
        <f ca="1">IF($D57&lt;&gt;"Serviço",0,IF(AND(AUTOEVENTO="Manual",$M57=1),0,IF(OFFSET(CRONOPLE!$F$14,$M57,AN$13)="",10^12,OFFSET(CRONOPLE!$F$14,$M57,AN$13))))</f>
        <v>1000000000000</v>
      </c>
      <c r="AO57" s="181">
        <f ca="1">IF($D57&lt;&gt;"Serviço",0,IF(AND(AUTOEVENTO="Manual",$M57=1),0,IF(OFFSET(CRONOPLE!$F$14,$M57,AO$13)="",10^12,OFFSET(CRONOPLE!$F$14,$M57,AO$13))))</f>
        <v>1000000000000</v>
      </c>
      <c r="AP57" s="181">
        <f ca="1">IF($D57&lt;&gt;"Serviço",0,IF(AND(AUTOEVENTO="Manual",$M57=1),0,IF(OFFSET(CRONOPLE!$F$14,$M57,AP$13)="",10^12,OFFSET(CRONOPLE!$F$14,$M57,AP$13))))</f>
        <v>1000000000000</v>
      </c>
      <c r="AQ57" s="181">
        <f ca="1">IF($D57&lt;&gt;"Serviço",0,IF(AND(AUTOEVENTO="Manual",$M57=1),0,IF(OFFSET(CRONOPLE!$F$14,$M57,AQ$13)="",10^12,OFFSET(CRONOPLE!$F$14,$M57,AQ$13))))</f>
        <v>1000000000000</v>
      </c>
      <c r="AR57" s="181">
        <f ca="1">IF($D57&lt;&gt;"Serviço",0,IF(AND(AUTOEVENTO="Manual",$M57=1),0,IF(OFFSET(CRONOPLE!$F$14,$M57,AR$13)="",10^12,OFFSET(CRONOPLE!$F$14,$M57,AR$13))))</f>
        <v>1000000000000</v>
      </c>
      <c r="AS57" s="181">
        <f ca="1">IF($D57&lt;&gt;"Serviço",0,IF(AND(AUTOEVENTO="Manual",$M57=1),0,IF(OFFSET(CRONOPLE!$F$14,$M57,AS$13)="",10^12,OFFSET(CRONOPLE!$F$14,$M57,AS$13))))</f>
        <v>1000000000000</v>
      </c>
      <c r="AT57" s="181">
        <f ca="1">IF($D57&lt;&gt;"Serviço",0,IF(AND(AUTOEVENTO="Manual",$M57=1),0,IF(OFFSET(CRONOPLE!$F$14,$M57,AT$13)="",10^12,OFFSET(CRONOPLE!$F$14,$M57,AT$13))))</f>
        <v>1000000000000</v>
      </c>
      <c r="AU57" s="181">
        <f ca="1">IF($D57&lt;&gt;"Serviço",0,IF(AND(AUTOEVENTO="Manual",$M57=1),0,IF(OFFSET(CRONOPLE!$F$14,$M57,AU$13)="",10^12,OFFSET(CRONOPLE!$F$14,$M57,AU$13))))</f>
        <v>1000000000000</v>
      </c>
      <c r="AV57" s="181">
        <f ca="1">IF($D57&lt;&gt;"Serviço",0,IF(AND(AUTOEVENTO="Manual",$M57=1),0,IF(OFFSET(CRONOPLE!$F$14,$M57,AV$13)="",10^12,OFFSET(CRONOPLE!$F$14,$M57,AV$13))))</f>
        <v>1000000000000</v>
      </c>
      <c r="AX57" s="182">
        <f ca="1">IF($D57&lt;&gt;"Serviço",0,IF(OR(AND(AUTOEVENTO="Manual",$M57=1),$M57&gt;(ROW(PLE.lastrow)-ROW(PLE.firstrow))),0,IF(OFFSET(PLE!$G$14,$M57,AX$13)="",10^12,OFFSET(PLE!$G$14,$M57,AX$13))))</f>
        <v>1000000000000</v>
      </c>
      <c r="AY57" s="182">
        <f ca="1">IF($D57&lt;&gt;"Serviço",0,IF(OR(AND(AUTOEVENTO="Manual",$M57=1),$M57&gt;(ROW(PLE.lastrow)-ROW(PLE.firstrow))),0,IF(OFFSET(PLE!$G$14,$M57,AY$13)="",10^12,OFFSET(PLE!$G$14,$M57,AY$13))))</f>
        <v>1000000000000</v>
      </c>
      <c r="AZ57" s="182">
        <f ca="1">IF($D57&lt;&gt;"Serviço",0,IF(OR(AND(AUTOEVENTO="Manual",$M57=1),$M57&gt;(ROW(PLE.lastrow)-ROW(PLE.firstrow))),0,IF(OFFSET(PLE!$G$14,$M57,AZ$13)="",10^12,OFFSET(PLE!$G$14,$M57,AZ$13))))</f>
        <v>1000000000000</v>
      </c>
      <c r="BA57" s="182">
        <f ca="1">IF($D57&lt;&gt;"Serviço",0,IF(OR(AND(AUTOEVENTO="Manual",$M57=1),$M57&gt;(ROW(PLE.lastrow)-ROW(PLE.firstrow))),0,IF(OFFSET(PLE!$G$14,$M57,BA$13)="",10^12,OFFSET(PLE!$G$14,$M57,BA$13))))</f>
        <v>1000000000000</v>
      </c>
      <c r="BB57" s="182">
        <f ca="1">IF($D57&lt;&gt;"Serviço",0,IF(OR(AND(AUTOEVENTO="Manual",$M57=1),$M57&gt;(ROW(PLE.lastrow)-ROW(PLE.firstrow))),0,IF(OFFSET(PLE!$G$14,$M57,BB$13)="",10^12,OFFSET(PLE!$G$14,$M57,BB$13))))</f>
        <v>1000000000000</v>
      </c>
      <c r="BC57" s="182">
        <f ca="1">IF($D57&lt;&gt;"Serviço",0,IF(OR(AND(AUTOEVENTO="Manual",$M57=1),$M57&gt;(ROW(PLE.lastrow)-ROW(PLE.firstrow))),0,IF(OFFSET(PLE!$G$14,$M57,BC$13)="",10^12,OFFSET(PLE!$G$14,$M57,BC$13))))</f>
        <v>1000000000000</v>
      </c>
      <c r="BD57" s="182">
        <f ca="1">IF($D57&lt;&gt;"Serviço",0,IF(OR(AND(AUTOEVENTO="Manual",$M57=1),$M57&gt;(ROW(PLE.lastrow)-ROW(PLE.firstrow))),0,IF(OFFSET(PLE!$G$14,$M57,BD$13)="",10^12,OFFSET(PLE!$G$14,$M57,BD$13))))</f>
        <v>1000000000000</v>
      </c>
      <c r="BE57" s="182">
        <f ca="1">IF($D57&lt;&gt;"Serviço",0,IF(OR(AND(AUTOEVENTO="Manual",$M57=1),$M57&gt;(ROW(PLE.lastrow)-ROW(PLE.firstrow))),0,IF(OFFSET(PLE!$G$14,$M57,BE$13)="",10^12,OFFSET(PLE!$G$14,$M57,BE$13))))</f>
        <v>1000000000000</v>
      </c>
      <c r="BF57" s="182">
        <f ca="1">IF($D57&lt;&gt;"Serviço",0,IF(OR(AND(AUTOEVENTO="Manual",$M57=1),$M57&gt;(ROW(PLE.lastrow)-ROW(PLE.firstrow))),0,IF(OFFSET(PLE!$G$14,$M57,BF$13)="",10^12,OFFSET(PLE!$G$14,$M57,BF$13))))</f>
        <v>1000000000000</v>
      </c>
      <c r="BG57" s="182">
        <f ca="1">IF($D57&lt;&gt;"Serviço",0,IF(OR(AND(AUTOEVENTO="Manual",$M57=1),$M57&gt;(ROW(PLE.lastrow)-ROW(PLE.firstrow))),0,IF(OFFSET(PLE!$G$14,$M57,BG$13)="",10^12,OFFSET(PLE!$G$14,$M57,BG$13))))</f>
        <v>1000000000000</v>
      </c>
    </row>
    <row r="58" spans="1:59" ht="12.75" x14ac:dyDescent="0.2">
      <c r="A58" s="7" t="str">
        <f ca="1">IF(AUTOEVENTO="Manual",IF(K58&lt;&gt;"",MIN(VALUE(LEFT(K58,FIND(".",K58)-1)),COUNTA(EVENTOS.Lista)),0),IF(OR($B58&gt;AUTOEVENTO,$B58="S",$B58=0),SUBSTITUTE(OFFSET($A58,-1,0),IF($D58="Serviço",".",""),""),ROW(A58)-ROW($A$15)&amp;"."))</f>
        <v>43.</v>
      </c>
      <c r="B58" s="7">
        <f ca="1">OFFSET(ORÇAMENTO!C$15,ROW(B58)-ROW(B$15),0)</f>
        <v>2</v>
      </c>
      <c r="C58" s="7" t="str">
        <f ca="1">OFFSET(ORÇAMENTO!L$15,ROW(C58)-ROW(C$15),0)</f>
        <v>F</v>
      </c>
      <c r="D58" s="118" t="str">
        <f ca="1">OFFSET(ORÇAMENTO!N$15,ROW(D58)-ROW(D$15),0)</f>
        <v>Nível 2</v>
      </c>
      <c r="E58" s="119" t="str">
        <f ca="1">OFFSET(ORÇAMENTO!O$15,ROW(E58)-ROW(E$15),0)</f>
        <v>4.2.</v>
      </c>
      <c r="F58" s="172" t="str">
        <f ca="1">OFFSET(ORÇAMENTO!R$15,ROW(F58)-ROW(F$15),0)</f>
        <v>REVESTIMENTOS</v>
      </c>
      <c r="G58" s="173" t="str">
        <f ca="1">IF($D58&lt;&gt;"Serviço","",OFFSET(ORÇAMENTO!S$15,ROW(G58)-ROW(G$15),0))</f>
        <v/>
      </c>
      <c r="H58" s="124">
        <f ca="1">IF($D58&lt;&gt;"Serviço",0,IF(ACOMPANHAMENTO="BM",ROUND(OFFSET(ORÇAMENTO!AJ$15,ROW(H58)-ROW(H$15),0),15-13*ORÇAMENTO!$AF$7),SUMPRODUCT(($Q$12:$AA$12&lt;&gt;"")*ROUND($Q58:$AA58,15-13*ORÇAMENTO!$AF$7))))</f>
        <v>0</v>
      </c>
      <c r="I58" s="561"/>
      <c r="K58" s="174"/>
      <c r="L58" s="175" t="s">
        <v>255</v>
      </c>
      <c r="M58" s="176" t="str">
        <f ca="1">IF($D58&lt;&gt;"Serviço","",IF(AUTOEVENTO="manual",$A58,IF(ISERROR(MATCH($A58,$A$15:OFFSET($A58,-1,0),0)),MAX($M$15:OFFSET(M58,-1,0))+1,INDEX($M$15:OFFSET(M58,-1,0),MATCH($A58,$A$15:OFFSET($A58,-1,0),0)))))</f>
        <v/>
      </c>
      <c r="N58" s="177" t="str">
        <f ca="1">IF($D58&lt;&gt;"Serviço","",IF(AUTOEVENTO="Manual",IF($A58=0,"&lt;-- defina o número do agrupador",OFFSET(EVENTOS!$D$14,$A58,0)),OFFSET($F$15,$A58,0)))</f>
        <v/>
      </c>
      <c r="O58" s="178"/>
      <c r="Q58" s="178"/>
      <c r="R58" s="179"/>
      <c r="S58" s="179"/>
      <c r="T58" s="179"/>
      <c r="U58" s="179"/>
      <c r="V58" s="179"/>
      <c r="W58" s="179"/>
      <c r="X58" s="179"/>
      <c r="Y58" s="179"/>
      <c r="Z58" s="180"/>
      <c r="AB58" s="544">
        <f ca="1">IF(AND($D58="Serviço",AB$12&lt;&gt;0,$H58&gt;0,OR(AUTOEVENTO&lt;&gt;"manual",$M58&lt;&gt;1)),
IF(Import.TipoArredondamento&lt;&gt;"TransfereGOV",
ROUND(OFFSET($P58,0,AB$13),15-13*ORÇAMENTO!$AF$7)/$H58*OFFSET(ORÇAMENTO!$X$15,ROW(AB58)-ROW(AB$15),0),
ROUND(ROUND(OFFSET($P58,0,AB$13),15-13*ORÇAMENTO!$AF$7)*OFFSET(ORÇAMENTO!$W$15,ROW(AB58)-ROW(AB$15),0),15-13*ORÇAMENTO!$AF$11)),0)</f>
        <v>0</v>
      </c>
      <c r="AC58" s="545">
        <f ca="1">IF(AND($D58="Serviço",AC$12&lt;&gt;0,$H58&gt;0,OR(AUTOEVENTO&lt;&gt;"manual",$M58&lt;&gt;1)),
IF(Import.TipoArredondamento&lt;&gt;"TransfereGOV",
ROUND(OFFSET($P58,0,AC$13),15-13*ORÇAMENTO!$AF$7)/$H58*OFFSET(ORÇAMENTO!$X$15,ROW(AC58)-ROW(AC$15),0),
ROUND(ROUND(OFFSET($P58,0,AC$13),15-13*ORÇAMENTO!$AF$7)*OFFSET(ORÇAMENTO!$W$15,ROW(AC58)-ROW(AC$15),0),15-13*ORÇAMENTO!$AF$11)),0)</f>
        <v>0</v>
      </c>
      <c r="AD58" s="545">
        <f ca="1">IF(AND($D58="Serviço",AD$12&lt;&gt;0,$H58&gt;0,OR(AUTOEVENTO&lt;&gt;"manual",$M58&lt;&gt;1)),
IF(Import.TipoArredondamento&lt;&gt;"TransfereGOV",
ROUND(OFFSET($P58,0,AD$13),15-13*ORÇAMENTO!$AF$7)/$H58*OFFSET(ORÇAMENTO!$X$15,ROW(AD58)-ROW(AD$15),0),
ROUND(ROUND(OFFSET($P58,0,AD$13),15-13*ORÇAMENTO!$AF$7)*OFFSET(ORÇAMENTO!$W$15,ROW(AD58)-ROW(AD$15),0),15-13*ORÇAMENTO!$AF$11)),0)</f>
        <v>0</v>
      </c>
      <c r="AE58" s="545">
        <f ca="1">IF(AND($D58="Serviço",AE$12&lt;&gt;0,$H58&gt;0,OR(AUTOEVENTO&lt;&gt;"manual",$M58&lt;&gt;1)),
IF(Import.TipoArredondamento&lt;&gt;"TransfereGOV",
ROUND(OFFSET($P58,0,AE$13),15-13*ORÇAMENTO!$AF$7)/$H58*OFFSET(ORÇAMENTO!$X$15,ROW(AE58)-ROW(AE$15),0),
ROUND(ROUND(OFFSET($P58,0,AE$13),15-13*ORÇAMENTO!$AF$7)*OFFSET(ORÇAMENTO!$W$15,ROW(AE58)-ROW(AE$15),0),15-13*ORÇAMENTO!$AF$11)),0)</f>
        <v>0</v>
      </c>
      <c r="AF58" s="545">
        <f ca="1">IF(AND($D58="Serviço",AF$12&lt;&gt;0,$H58&gt;0,OR(AUTOEVENTO&lt;&gt;"manual",$M58&lt;&gt;1)),
IF(Import.TipoArredondamento&lt;&gt;"TransfereGOV",
ROUND(OFFSET($P58,0,AF$13),15-13*ORÇAMENTO!$AF$7)/$H58*OFFSET(ORÇAMENTO!$X$15,ROW(AF58)-ROW(AF$15),0),
ROUND(ROUND(OFFSET($P58,0,AF$13),15-13*ORÇAMENTO!$AF$7)*OFFSET(ORÇAMENTO!$W$15,ROW(AF58)-ROW(AF$15),0),15-13*ORÇAMENTO!$AF$11)),0)</f>
        <v>0</v>
      </c>
      <c r="AG58" s="545">
        <f ca="1">IF(AND($D58="Serviço",AG$12&lt;&gt;0,$H58&gt;0,OR(AUTOEVENTO&lt;&gt;"manual",$M58&lt;&gt;1)),
IF(Import.TipoArredondamento&lt;&gt;"TransfereGOV",
ROUND(OFFSET($P58,0,AG$13),15-13*ORÇAMENTO!$AF$7)/$H58*OFFSET(ORÇAMENTO!$X$15,ROW(AG58)-ROW(AG$15),0),
ROUND(ROUND(OFFSET($P58,0,AG$13),15-13*ORÇAMENTO!$AF$7)*OFFSET(ORÇAMENTO!$W$15,ROW(AG58)-ROW(AG$15),0),15-13*ORÇAMENTO!$AF$11)),0)</f>
        <v>0</v>
      </c>
      <c r="AH58" s="545">
        <f ca="1">IF(AND($D58="Serviço",AH$12&lt;&gt;0,$H58&gt;0,OR(AUTOEVENTO&lt;&gt;"manual",$M58&lt;&gt;1)),
IF(Import.TipoArredondamento&lt;&gt;"TransfereGOV",
ROUND(OFFSET($P58,0,AH$13),15-13*ORÇAMENTO!$AF$7)/$H58*OFFSET(ORÇAMENTO!$X$15,ROW(AH58)-ROW(AH$15),0),
ROUND(ROUND(OFFSET($P58,0,AH$13),15-13*ORÇAMENTO!$AF$7)*OFFSET(ORÇAMENTO!$W$15,ROW(AH58)-ROW(AH$15),0),15-13*ORÇAMENTO!$AF$11)),0)</f>
        <v>0</v>
      </c>
      <c r="AI58" s="545">
        <f ca="1">IF(AND($D58="Serviço",AI$12&lt;&gt;0,$H58&gt;0,OR(AUTOEVENTO&lt;&gt;"manual",$M58&lt;&gt;1)),
IF(Import.TipoArredondamento&lt;&gt;"TransfereGOV",
ROUND(OFFSET($P58,0,AI$13),15-13*ORÇAMENTO!$AF$7)/$H58*OFFSET(ORÇAMENTO!$X$15,ROW(AI58)-ROW(AI$15),0),
ROUND(ROUND(OFFSET($P58,0,AI$13),15-13*ORÇAMENTO!$AF$7)*OFFSET(ORÇAMENTO!$W$15,ROW(AI58)-ROW(AI$15),0),15-13*ORÇAMENTO!$AF$11)),0)</f>
        <v>0</v>
      </c>
      <c r="AJ58" s="545">
        <f ca="1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546">
        <f ca="1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M58" s="181">
        <f ca="1">IF($D58&lt;&gt;"Serviço",0,IF(AND(AUTOEVENTO="Manual",$M58=1),0,IF(OFFSET(CRONOPLE!$F$14,$M58,AM$13)="",10^12,OFFSET(CRONOPLE!$F$14,$M58,AM$13))))</f>
        <v>0</v>
      </c>
      <c r="AN58" s="181">
        <f ca="1">IF($D58&lt;&gt;"Serviço",0,IF(AND(AUTOEVENTO="Manual",$M58=1),0,IF(OFFSET(CRONOPLE!$F$14,$M58,AN$13)="",10^12,OFFSET(CRONOPLE!$F$14,$M58,AN$13))))</f>
        <v>0</v>
      </c>
      <c r="AO58" s="181">
        <f ca="1">IF($D58&lt;&gt;"Serviço",0,IF(AND(AUTOEVENTO="Manual",$M58=1),0,IF(OFFSET(CRONOPLE!$F$14,$M58,AO$13)="",10^12,OFFSET(CRONOPLE!$F$14,$M58,AO$13))))</f>
        <v>0</v>
      </c>
      <c r="AP58" s="181">
        <f ca="1">IF($D58&lt;&gt;"Serviço",0,IF(AND(AUTOEVENTO="Manual",$M58=1),0,IF(OFFSET(CRONOPLE!$F$14,$M58,AP$13)="",10^12,OFFSET(CRONOPLE!$F$14,$M58,AP$13))))</f>
        <v>0</v>
      </c>
      <c r="AQ58" s="181">
        <f ca="1">IF($D58&lt;&gt;"Serviço",0,IF(AND(AUTOEVENTO="Manual",$M58=1),0,IF(OFFSET(CRONOPLE!$F$14,$M58,AQ$13)="",10^12,OFFSET(CRONOPLE!$F$14,$M58,AQ$13))))</f>
        <v>0</v>
      </c>
      <c r="AR58" s="181">
        <f ca="1">IF($D58&lt;&gt;"Serviço",0,IF(AND(AUTOEVENTO="Manual",$M58=1),0,IF(OFFSET(CRONOPLE!$F$14,$M58,AR$13)="",10^12,OFFSET(CRONOPLE!$F$14,$M58,AR$13))))</f>
        <v>0</v>
      </c>
      <c r="AS58" s="181">
        <f ca="1">IF($D58&lt;&gt;"Serviço",0,IF(AND(AUTOEVENTO="Manual",$M58=1),0,IF(OFFSET(CRONOPLE!$F$14,$M58,AS$13)="",10^12,OFFSET(CRONOPLE!$F$14,$M58,AS$13))))</f>
        <v>0</v>
      </c>
      <c r="AT58" s="181">
        <f ca="1">IF($D58&lt;&gt;"Serviço",0,IF(AND(AUTOEVENTO="Manual",$M58=1),0,IF(OFFSET(CRONOPLE!$F$14,$M58,AT$13)="",10^12,OFFSET(CRONOPLE!$F$14,$M58,AT$13))))</f>
        <v>0</v>
      </c>
      <c r="AU58" s="181">
        <f ca="1">IF($D58&lt;&gt;"Serviço",0,IF(AND(AUTOEVENTO="Manual",$M58=1),0,IF(OFFSET(CRONOPLE!$F$14,$M58,AU$13)="",10^12,OFFSET(CRONOPLE!$F$14,$M58,AU$13))))</f>
        <v>0</v>
      </c>
      <c r="AV58" s="181">
        <f ca="1">IF($D58&lt;&gt;"Serviço",0,IF(AND(AUTOEVENTO="Manual",$M58=1),0,IF(OFFSET(CRONOPLE!$F$14,$M58,AV$13)="",10^12,OFFSET(CRONOPLE!$F$14,$M58,AV$13))))</f>
        <v>0</v>
      </c>
      <c r="AX58" s="182">
        <f ca="1">IF($D58&lt;&gt;"Serviço",0,IF(OR(AND(AUTOEVENTO="Manual",$M58=1),$M58&gt;(ROW(PLE.lastrow)-ROW(PLE.firstrow))),0,IF(OFFSET(PLE!$G$14,$M58,AX$13)="",10^12,OFFSET(PLE!$G$14,$M58,AX$13))))</f>
        <v>0</v>
      </c>
      <c r="AY58" s="182">
        <f ca="1">IF($D58&lt;&gt;"Serviço",0,IF(OR(AND(AUTOEVENTO="Manual",$M58=1),$M58&gt;(ROW(PLE.lastrow)-ROW(PLE.firstrow))),0,IF(OFFSET(PLE!$G$14,$M58,AY$13)="",10^12,OFFSET(PLE!$G$14,$M58,AY$13))))</f>
        <v>0</v>
      </c>
      <c r="AZ58" s="182">
        <f ca="1">IF($D58&lt;&gt;"Serviço",0,IF(OR(AND(AUTOEVENTO="Manual",$M58=1),$M58&gt;(ROW(PLE.lastrow)-ROW(PLE.firstrow))),0,IF(OFFSET(PLE!$G$14,$M58,AZ$13)="",10^12,OFFSET(PLE!$G$14,$M58,AZ$13))))</f>
        <v>0</v>
      </c>
      <c r="BA58" s="182">
        <f ca="1">IF($D58&lt;&gt;"Serviço",0,IF(OR(AND(AUTOEVENTO="Manual",$M58=1),$M58&gt;(ROW(PLE.lastrow)-ROW(PLE.firstrow))),0,IF(OFFSET(PLE!$G$14,$M58,BA$13)="",10^12,OFFSET(PLE!$G$14,$M58,BA$13))))</f>
        <v>0</v>
      </c>
      <c r="BB58" s="182">
        <f ca="1">IF($D58&lt;&gt;"Serviço",0,IF(OR(AND(AUTOEVENTO="Manual",$M58=1),$M58&gt;(ROW(PLE.lastrow)-ROW(PLE.firstrow))),0,IF(OFFSET(PLE!$G$14,$M58,BB$13)="",10^12,OFFSET(PLE!$G$14,$M58,BB$13))))</f>
        <v>0</v>
      </c>
      <c r="BC58" s="182">
        <f ca="1">IF($D58&lt;&gt;"Serviço",0,IF(OR(AND(AUTOEVENTO="Manual",$M58=1),$M58&gt;(ROW(PLE.lastrow)-ROW(PLE.firstrow))),0,IF(OFFSET(PLE!$G$14,$M58,BC$13)="",10^12,OFFSET(PLE!$G$14,$M58,BC$13))))</f>
        <v>0</v>
      </c>
      <c r="BD58" s="182">
        <f ca="1">IF($D58&lt;&gt;"Serviço",0,IF(OR(AND(AUTOEVENTO="Manual",$M58=1),$M58&gt;(ROW(PLE.lastrow)-ROW(PLE.firstrow))),0,IF(OFFSET(PLE!$G$14,$M58,BD$13)="",10^12,OFFSET(PLE!$G$14,$M58,BD$13))))</f>
        <v>0</v>
      </c>
      <c r="BE58" s="182">
        <f ca="1">IF($D58&lt;&gt;"Serviço",0,IF(OR(AND(AUTOEVENTO="Manual",$M58=1),$M58&gt;(ROW(PLE.lastrow)-ROW(PLE.firstrow))),0,IF(OFFSET(PLE!$G$14,$M58,BE$13)="",10^12,OFFSET(PLE!$G$14,$M58,BE$13))))</f>
        <v>0</v>
      </c>
      <c r="BF58" s="182">
        <f ca="1">IF($D58&lt;&gt;"Serviço",0,IF(OR(AND(AUTOEVENTO="Manual",$M58=1),$M58&gt;(ROW(PLE.lastrow)-ROW(PLE.firstrow))),0,IF(OFFSET(PLE!$G$14,$M58,BF$13)="",10^12,OFFSET(PLE!$G$14,$M58,BF$13))))</f>
        <v>0</v>
      </c>
      <c r="BG58" s="182">
        <f ca="1">IF($D58&lt;&gt;"Serviço",0,IF(OR(AND(AUTOEVENTO="Manual",$M58=1),$M58&gt;(ROW(PLE.lastrow)-ROW(PLE.firstrow))),0,IF(OFFSET(PLE!$G$14,$M58,BG$13)="",10^12,OFFSET(PLE!$G$14,$M58,BG$13))))</f>
        <v>0</v>
      </c>
    </row>
    <row r="59" spans="1:59" ht="38.25" x14ac:dyDescent="0.2">
      <c r="A59" s="7" t="str">
        <f ca="1">IF(AUTOEVENTO="Manual",IF(K59&lt;&gt;"",MIN(VALUE(LEFT(K59,FIND(".",K59)-1)),COUNTA(EVENTOS.Lista)),0),IF(OR($B59&gt;AUTOEVENTO,$B59="S",$B59=0),SUBSTITUTE(OFFSET($A59,-1,0),IF($D59="Serviço",".",""),""),ROW(A59)-ROW($A$15)&amp;"."))</f>
        <v>43</v>
      </c>
      <c r="B59" s="7" t="str">
        <f ca="1">OFFSET(ORÇAMENTO!C$15,ROW(B59)-ROW(B$15),0)</f>
        <v>S</v>
      </c>
      <c r="C59" s="7" t="str">
        <f ca="1">OFFSET(ORÇAMENTO!L$15,ROW(C59)-ROW(C$15),0)</f>
        <v>F</v>
      </c>
      <c r="D59" s="118" t="str">
        <f ca="1">OFFSET(ORÇAMENTO!N$15,ROW(D59)-ROW(D$15),0)</f>
        <v>Serviço</v>
      </c>
      <c r="E59" s="119" t="str">
        <f ca="1">OFFSET(ORÇAMENTO!O$15,ROW(E59)-ROW(E$15),0)</f>
        <v>4.2.1.</v>
      </c>
      <c r="F59" s="172" t="str">
        <f ca="1">OFFSET(ORÇAMENTO!R$15,ROW(F59)-ROW(F$15),0)</f>
        <v>REVESTIMENTO CERÂMICO PARA PAREDES INTERNAS COM PLACAS TIPO ESMALTADA DE DIMENSÕES 33X45 CM APLICADAS NA ALTURA INTEIRA DAS PAREDES. AF_02/2023_PE</v>
      </c>
      <c r="G59" s="173" t="str">
        <f ca="1">IF($D59&lt;&gt;"Serviço","",OFFSET(ORÇAMENTO!S$15,ROW(G59)-ROW(G$15),0))</f>
        <v>M2</v>
      </c>
      <c r="H59" s="124">
        <f ca="1">IF($D59&lt;&gt;"Serviço",0,IF(ACOMPANHAMENTO="BM",ROUND(OFFSET(ORÇAMENTO!AJ$15,ROW(H59)-ROW(H$15),0),15-13*ORÇAMENTO!$AF$7),SUMPRODUCT(($Q$12:$AA$12&lt;&gt;"")*ROUND($Q59:$AA59,15-13*ORÇAMENTO!$AF$7))))</f>
        <v>28</v>
      </c>
      <c r="I59" s="561"/>
      <c r="K59" s="174"/>
      <c r="L59" s="175" t="s">
        <v>255</v>
      </c>
      <c r="M59" s="176">
        <f ca="1">IF($D59&lt;&gt;"Serviço","",IF(AUTOEVENTO="manual",$A59,IF(ISERROR(MATCH($A59,$A$15:OFFSET($A59,-1,0),0)),MAX($M$15:OFFSET(M59,-1,0))+1,INDEX($M$15:OFFSET(M59,-1,0),MATCH($A59,$A$15:OFFSET($A59,-1,0),0)))))</f>
        <v>9</v>
      </c>
      <c r="N59" s="177" t="str">
        <f ca="1">IF($D59&lt;&gt;"Serviço","",IF(AUTOEVENTO="Manual",IF($A59=0,"&lt;-- defina o número do agrupador",OFFSET(EVENTOS!$D$14,$A59,0)),OFFSET($F$15,$A59,0)))</f>
        <v>REVESTIMENTOS</v>
      </c>
      <c r="O59" s="178"/>
      <c r="Q59" s="178"/>
      <c r="R59" s="179"/>
      <c r="S59" s="179"/>
      <c r="T59" s="179"/>
      <c r="U59" s="179"/>
      <c r="V59" s="179"/>
      <c r="W59" s="179"/>
      <c r="X59" s="179"/>
      <c r="Y59" s="179"/>
      <c r="Z59" s="180"/>
      <c r="AB59" s="544">
        <f ca="1">IF(AND($D59="Serviço",AB$12&lt;&gt;0,$H59&gt;0,OR(AUTOEVENTO&lt;&gt;"manual",$M59&lt;&gt;1)),
IF(Import.TipoArredondamento&lt;&gt;"TransfereGOV",
ROUND(OFFSET($P59,0,AB$13),15-13*ORÇAMENTO!$AF$7)/$H59*OFFSET(ORÇAMENTO!$X$15,ROW(AB59)-ROW(AB$15),0),
ROUND(ROUND(OFFSET($P59,0,AB$13),15-13*ORÇAMENTO!$AF$7)*OFFSET(ORÇAMENTO!$W$15,ROW(AB59)-ROW(AB$15),0),15-13*ORÇAMENTO!$AF$11)),0)</f>
        <v>0</v>
      </c>
      <c r="AC59" s="545">
        <f ca="1">IF(AND($D59="Serviço",AC$12&lt;&gt;0,$H59&gt;0,OR(AUTOEVENTO&lt;&gt;"manual",$M59&lt;&gt;1)),
IF(Import.TipoArredondamento&lt;&gt;"TransfereGOV",
ROUND(OFFSET($P59,0,AC$13),15-13*ORÇAMENTO!$AF$7)/$H59*OFFSET(ORÇAMENTO!$X$15,ROW(AC59)-ROW(AC$15),0),
ROUND(ROUND(OFFSET($P59,0,AC$13),15-13*ORÇAMENTO!$AF$7)*OFFSET(ORÇAMENTO!$W$15,ROW(AC59)-ROW(AC$15),0),15-13*ORÇAMENTO!$AF$11)),0)</f>
        <v>0</v>
      </c>
      <c r="AD59" s="545">
        <f ca="1">IF(AND($D59="Serviço",AD$12&lt;&gt;0,$H59&gt;0,OR(AUTOEVENTO&lt;&gt;"manual",$M59&lt;&gt;1)),
IF(Import.TipoArredondamento&lt;&gt;"TransfereGOV",
ROUND(OFFSET($P59,0,AD$13),15-13*ORÇAMENTO!$AF$7)/$H59*OFFSET(ORÇAMENTO!$X$15,ROW(AD59)-ROW(AD$15),0),
ROUND(ROUND(OFFSET($P59,0,AD$13),15-13*ORÇAMENTO!$AF$7)*OFFSET(ORÇAMENTO!$W$15,ROW(AD59)-ROW(AD$15),0),15-13*ORÇAMENTO!$AF$11)),0)</f>
        <v>0</v>
      </c>
      <c r="AE59" s="545">
        <f ca="1">IF(AND($D59="Serviço",AE$12&lt;&gt;0,$H59&gt;0,OR(AUTOEVENTO&lt;&gt;"manual",$M59&lt;&gt;1)),
IF(Import.TipoArredondamento&lt;&gt;"TransfereGOV",
ROUND(OFFSET($P59,0,AE$13),15-13*ORÇAMENTO!$AF$7)/$H59*OFFSET(ORÇAMENTO!$X$15,ROW(AE59)-ROW(AE$15),0),
ROUND(ROUND(OFFSET($P59,0,AE$13),15-13*ORÇAMENTO!$AF$7)*OFFSET(ORÇAMENTO!$W$15,ROW(AE59)-ROW(AE$15),0),15-13*ORÇAMENTO!$AF$11)),0)</f>
        <v>0</v>
      </c>
      <c r="AF59" s="545">
        <f ca="1">IF(AND($D59="Serviço",AF$12&lt;&gt;0,$H59&gt;0,OR(AUTOEVENTO&lt;&gt;"manual",$M59&lt;&gt;1)),
IF(Import.TipoArredondamento&lt;&gt;"TransfereGOV",
ROUND(OFFSET($P59,0,AF$13),15-13*ORÇAMENTO!$AF$7)/$H59*OFFSET(ORÇAMENTO!$X$15,ROW(AF59)-ROW(AF$15),0),
ROUND(ROUND(OFFSET($P59,0,AF$13),15-13*ORÇAMENTO!$AF$7)*OFFSET(ORÇAMENTO!$W$15,ROW(AF59)-ROW(AF$15),0),15-13*ORÇAMENTO!$AF$11)),0)</f>
        <v>0</v>
      </c>
      <c r="AG59" s="545">
        <f ca="1">IF(AND($D59="Serviço",AG$12&lt;&gt;0,$H59&gt;0,OR(AUTOEVENTO&lt;&gt;"manual",$M59&lt;&gt;1)),
IF(Import.TipoArredondamento&lt;&gt;"TransfereGOV",
ROUND(OFFSET($P59,0,AG$13),15-13*ORÇAMENTO!$AF$7)/$H59*OFFSET(ORÇAMENTO!$X$15,ROW(AG59)-ROW(AG$15),0),
ROUND(ROUND(OFFSET($P59,0,AG$13),15-13*ORÇAMENTO!$AF$7)*OFFSET(ORÇAMENTO!$W$15,ROW(AG59)-ROW(AG$15),0),15-13*ORÇAMENTO!$AF$11)),0)</f>
        <v>0</v>
      </c>
      <c r="AH59" s="545">
        <f ca="1">IF(AND($D59="Serviço",AH$12&lt;&gt;0,$H59&gt;0,OR(AUTOEVENTO&lt;&gt;"manual",$M59&lt;&gt;1)),
IF(Import.TipoArredondamento&lt;&gt;"TransfereGOV",
ROUND(OFFSET($P59,0,AH$13),15-13*ORÇAMENTO!$AF$7)/$H59*OFFSET(ORÇAMENTO!$X$15,ROW(AH59)-ROW(AH$15),0),
ROUND(ROUND(OFFSET($P59,0,AH$13),15-13*ORÇAMENTO!$AF$7)*OFFSET(ORÇAMENTO!$W$15,ROW(AH59)-ROW(AH$15),0),15-13*ORÇAMENTO!$AF$11)),0)</f>
        <v>0</v>
      </c>
      <c r="AI59" s="545">
        <f ca="1">IF(AND($D59="Serviço",AI$12&lt;&gt;0,$H59&gt;0,OR(AUTOEVENTO&lt;&gt;"manual",$M59&lt;&gt;1)),
IF(Import.TipoArredondamento&lt;&gt;"TransfereGOV",
ROUND(OFFSET($P59,0,AI$13),15-13*ORÇAMENTO!$AF$7)/$H59*OFFSET(ORÇAMENTO!$X$15,ROW(AI59)-ROW(AI$15),0),
ROUND(ROUND(OFFSET($P59,0,AI$13),15-13*ORÇAMENTO!$AF$7)*OFFSET(ORÇAMENTO!$W$15,ROW(AI59)-ROW(AI$15),0),15-13*ORÇAMENTO!$AF$11)),0)</f>
        <v>0</v>
      </c>
      <c r="AJ59" s="545">
        <f ca="1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0</v>
      </c>
      <c r="AK59" s="546">
        <f ca="1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0</v>
      </c>
      <c r="AM59" s="181">
        <f ca="1">IF($D59&lt;&gt;"Serviço",0,IF(AND(AUTOEVENTO="Manual",$M59=1),0,IF(OFFSET(CRONOPLE!$F$14,$M59,AM$13)="",10^12,OFFSET(CRONOPLE!$F$14,$M59,AM$13))))</f>
        <v>1000000000000</v>
      </c>
      <c r="AN59" s="181">
        <f ca="1">IF($D59&lt;&gt;"Serviço",0,IF(AND(AUTOEVENTO="Manual",$M59=1),0,IF(OFFSET(CRONOPLE!$F$14,$M59,AN$13)="",10^12,OFFSET(CRONOPLE!$F$14,$M59,AN$13))))</f>
        <v>1000000000000</v>
      </c>
      <c r="AO59" s="181">
        <f ca="1">IF($D59&lt;&gt;"Serviço",0,IF(AND(AUTOEVENTO="Manual",$M59=1),0,IF(OFFSET(CRONOPLE!$F$14,$M59,AO$13)="",10^12,OFFSET(CRONOPLE!$F$14,$M59,AO$13))))</f>
        <v>1000000000000</v>
      </c>
      <c r="AP59" s="181">
        <f ca="1">IF($D59&lt;&gt;"Serviço",0,IF(AND(AUTOEVENTO="Manual",$M59=1),0,IF(OFFSET(CRONOPLE!$F$14,$M59,AP$13)="",10^12,OFFSET(CRONOPLE!$F$14,$M59,AP$13))))</f>
        <v>1000000000000</v>
      </c>
      <c r="AQ59" s="181">
        <f ca="1">IF($D59&lt;&gt;"Serviço",0,IF(AND(AUTOEVENTO="Manual",$M59=1),0,IF(OFFSET(CRONOPLE!$F$14,$M59,AQ$13)="",10^12,OFFSET(CRONOPLE!$F$14,$M59,AQ$13))))</f>
        <v>1000000000000</v>
      </c>
      <c r="AR59" s="181">
        <f ca="1">IF($D59&lt;&gt;"Serviço",0,IF(AND(AUTOEVENTO="Manual",$M59=1),0,IF(OFFSET(CRONOPLE!$F$14,$M59,AR$13)="",10^12,OFFSET(CRONOPLE!$F$14,$M59,AR$13))))</f>
        <v>1000000000000</v>
      </c>
      <c r="AS59" s="181">
        <f ca="1">IF($D59&lt;&gt;"Serviço",0,IF(AND(AUTOEVENTO="Manual",$M59=1),0,IF(OFFSET(CRONOPLE!$F$14,$M59,AS$13)="",10^12,OFFSET(CRONOPLE!$F$14,$M59,AS$13))))</f>
        <v>1000000000000</v>
      </c>
      <c r="AT59" s="181">
        <f ca="1">IF($D59&lt;&gt;"Serviço",0,IF(AND(AUTOEVENTO="Manual",$M59=1),0,IF(OFFSET(CRONOPLE!$F$14,$M59,AT$13)="",10^12,OFFSET(CRONOPLE!$F$14,$M59,AT$13))))</f>
        <v>1000000000000</v>
      </c>
      <c r="AU59" s="181">
        <f ca="1">IF($D59&lt;&gt;"Serviço",0,IF(AND(AUTOEVENTO="Manual",$M59=1),0,IF(OFFSET(CRONOPLE!$F$14,$M59,AU$13)="",10^12,OFFSET(CRONOPLE!$F$14,$M59,AU$13))))</f>
        <v>1000000000000</v>
      </c>
      <c r="AV59" s="181">
        <f ca="1">IF($D59&lt;&gt;"Serviço",0,IF(AND(AUTOEVENTO="Manual",$M59=1),0,IF(OFFSET(CRONOPLE!$F$14,$M59,AV$13)="",10^12,OFFSET(CRONOPLE!$F$14,$M59,AV$13))))</f>
        <v>1000000000000</v>
      </c>
      <c r="AX59" s="182">
        <f ca="1">IF($D59&lt;&gt;"Serviço",0,IF(OR(AND(AUTOEVENTO="Manual",$M59=1),$M59&gt;(ROW(PLE.lastrow)-ROW(PLE.firstrow))),0,IF(OFFSET(PLE!$G$14,$M59,AX$13)="",10^12,OFFSET(PLE!$G$14,$M59,AX$13))))</f>
        <v>1000000000000</v>
      </c>
      <c r="AY59" s="182">
        <f ca="1">IF($D59&lt;&gt;"Serviço",0,IF(OR(AND(AUTOEVENTO="Manual",$M59=1),$M59&gt;(ROW(PLE.lastrow)-ROW(PLE.firstrow))),0,IF(OFFSET(PLE!$G$14,$M59,AY$13)="",10^12,OFFSET(PLE!$G$14,$M59,AY$13))))</f>
        <v>1000000000000</v>
      </c>
      <c r="AZ59" s="182">
        <f ca="1">IF($D59&lt;&gt;"Serviço",0,IF(OR(AND(AUTOEVENTO="Manual",$M59=1),$M59&gt;(ROW(PLE.lastrow)-ROW(PLE.firstrow))),0,IF(OFFSET(PLE!$G$14,$M59,AZ$13)="",10^12,OFFSET(PLE!$G$14,$M59,AZ$13))))</f>
        <v>1000000000000</v>
      </c>
      <c r="BA59" s="182">
        <f ca="1">IF($D59&lt;&gt;"Serviço",0,IF(OR(AND(AUTOEVENTO="Manual",$M59=1),$M59&gt;(ROW(PLE.lastrow)-ROW(PLE.firstrow))),0,IF(OFFSET(PLE!$G$14,$M59,BA$13)="",10^12,OFFSET(PLE!$G$14,$M59,BA$13))))</f>
        <v>1000000000000</v>
      </c>
      <c r="BB59" s="182">
        <f ca="1">IF($D59&lt;&gt;"Serviço",0,IF(OR(AND(AUTOEVENTO="Manual",$M59=1),$M59&gt;(ROW(PLE.lastrow)-ROW(PLE.firstrow))),0,IF(OFFSET(PLE!$G$14,$M59,BB$13)="",10^12,OFFSET(PLE!$G$14,$M59,BB$13))))</f>
        <v>1000000000000</v>
      </c>
      <c r="BC59" s="182">
        <f ca="1">IF($D59&lt;&gt;"Serviço",0,IF(OR(AND(AUTOEVENTO="Manual",$M59=1),$M59&gt;(ROW(PLE.lastrow)-ROW(PLE.firstrow))),0,IF(OFFSET(PLE!$G$14,$M59,BC$13)="",10^12,OFFSET(PLE!$G$14,$M59,BC$13))))</f>
        <v>1000000000000</v>
      </c>
      <c r="BD59" s="182">
        <f ca="1">IF($D59&lt;&gt;"Serviço",0,IF(OR(AND(AUTOEVENTO="Manual",$M59=1),$M59&gt;(ROW(PLE.lastrow)-ROW(PLE.firstrow))),0,IF(OFFSET(PLE!$G$14,$M59,BD$13)="",10^12,OFFSET(PLE!$G$14,$M59,BD$13))))</f>
        <v>1000000000000</v>
      </c>
      <c r="BE59" s="182">
        <f ca="1">IF($D59&lt;&gt;"Serviço",0,IF(OR(AND(AUTOEVENTO="Manual",$M59=1),$M59&gt;(ROW(PLE.lastrow)-ROW(PLE.firstrow))),0,IF(OFFSET(PLE!$G$14,$M59,BE$13)="",10^12,OFFSET(PLE!$G$14,$M59,BE$13))))</f>
        <v>1000000000000</v>
      </c>
      <c r="BF59" s="182">
        <f ca="1">IF($D59&lt;&gt;"Serviço",0,IF(OR(AND(AUTOEVENTO="Manual",$M59=1),$M59&gt;(ROW(PLE.lastrow)-ROW(PLE.firstrow))),0,IF(OFFSET(PLE!$G$14,$M59,BF$13)="",10^12,OFFSET(PLE!$G$14,$M59,BF$13))))</f>
        <v>1000000000000</v>
      </c>
      <c r="BG59" s="182">
        <f ca="1">IF($D59&lt;&gt;"Serviço",0,IF(OR(AND(AUTOEVENTO="Manual",$M59=1),$M59&gt;(ROW(PLE.lastrow)-ROW(PLE.firstrow))),0,IF(OFFSET(PLE!$G$14,$M59,BG$13)="",10^12,OFFSET(PLE!$G$14,$M59,BG$13))))</f>
        <v>1000000000000</v>
      </c>
    </row>
    <row r="60" spans="1:59" ht="38.25" x14ac:dyDescent="0.2">
      <c r="A60" s="7" t="str">
        <f ca="1">IF(AUTOEVENTO="Manual",IF(K60&lt;&gt;"",MIN(VALUE(LEFT(K60,FIND(".",K60)-1)),COUNTA(EVENTOS.Lista)),0),IF(OR($B60&gt;AUTOEVENTO,$B60="S",$B60=0),SUBSTITUTE(OFFSET($A60,-1,0),IF($D60="Serviço",".",""),""),ROW(A60)-ROW($A$15)&amp;"."))</f>
        <v>43</v>
      </c>
      <c r="B60" s="7" t="str">
        <f ca="1">OFFSET(ORÇAMENTO!C$15,ROW(B60)-ROW(B$15),0)</f>
        <v>S</v>
      </c>
      <c r="C60" s="7" t="str">
        <f ca="1">OFFSET(ORÇAMENTO!L$15,ROW(C60)-ROW(C$15),0)</f>
        <v>F</v>
      </c>
      <c r="D60" s="118" t="str">
        <f ca="1">OFFSET(ORÇAMENTO!N$15,ROW(D60)-ROW(D$15),0)</f>
        <v>Serviço</v>
      </c>
      <c r="E60" s="119" t="str">
        <f ca="1">OFFSET(ORÇAMENTO!O$15,ROW(E60)-ROW(E$15),0)</f>
        <v>4.2.2.</v>
      </c>
      <c r="F60" s="172" t="str">
        <f ca="1">OFFSET(ORÇAMENTO!R$15,ROW(F60)-ROW(F$15),0)</f>
        <v>REVESTIMENTO CERÂMICO PARA PAREDES INTERNAS COM PLACAS TIPO ESMALTADA DE DIMENSÕES 33X45 CM APLICADAS A MEIA ALTURA DAS PAREDES. AF_02/2023_PE</v>
      </c>
      <c r="G60" s="173" t="str">
        <f ca="1">IF($D60&lt;&gt;"Serviço","",OFFSET(ORÇAMENTO!S$15,ROW(G60)-ROW(G$15),0))</f>
        <v>M2</v>
      </c>
      <c r="H60" s="124">
        <f ca="1">IF($D60&lt;&gt;"Serviço",0,IF(ACOMPANHAMENTO="BM",ROUND(OFFSET(ORÇAMENTO!AJ$15,ROW(H60)-ROW(H$15),0),15-13*ORÇAMENTO!$AF$7),SUMPRODUCT(($Q$12:$AA$12&lt;&gt;"")*ROUND($Q60:$AA60,15-13*ORÇAMENTO!$AF$7))))</f>
        <v>119.42</v>
      </c>
      <c r="I60" s="561"/>
      <c r="K60" s="174"/>
      <c r="L60" s="175" t="s">
        <v>255</v>
      </c>
      <c r="M60" s="176">
        <f ca="1">IF($D60&lt;&gt;"Serviço","",IF(AUTOEVENTO="manual",$A60,IF(ISERROR(MATCH($A60,$A$15:OFFSET($A60,-1,0),0)),MAX($M$15:OFFSET(M60,-1,0))+1,INDEX($M$15:OFFSET(M60,-1,0),MATCH($A60,$A$15:OFFSET($A60,-1,0),0)))))</f>
        <v>9</v>
      </c>
      <c r="N60" s="177" t="str">
        <f ca="1">IF($D60&lt;&gt;"Serviço","",IF(AUTOEVENTO="Manual",IF($A60=0,"&lt;-- defina o número do agrupador",OFFSET(EVENTOS!$D$14,$A60,0)),OFFSET($F$15,$A60,0)))</f>
        <v>REVESTIMENTOS</v>
      </c>
      <c r="O60" s="178"/>
      <c r="Q60" s="178"/>
      <c r="R60" s="179"/>
      <c r="S60" s="179"/>
      <c r="T60" s="179"/>
      <c r="U60" s="179"/>
      <c r="V60" s="179"/>
      <c r="W60" s="179"/>
      <c r="X60" s="179"/>
      <c r="Y60" s="179"/>
      <c r="Z60" s="180"/>
      <c r="AB60" s="544">
        <f ca="1">IF(AND($D60="Serviço",AB$12&lt;&gt;0,$H60&gt;0,OR(AUTOEVENTO&lt;&gt;"manual",$M60&lt;&gt;1)),
IF(Import.TipoArredondamento&lt;&gt;"TransfereGOV",
ROUND(OFFSET($P60,0,AB$13),15-13*ORÇAMENTO!$AF$7)/$H60*OFFSET(ORÇAMENTO!$X$15,ROW(AB60)-ROW(AB$15),0),
ROUND(ROUND(OFFSET($P60,0,AB$13),15-13*ORÇAMENTO!$AF$7)*OFFSET(ORÇAMENTO!$W$15,ROW(AB60)-ROW(AB$15),0),15-13*ORÇAMENTO!$AF$11)),0)</f>
        <v>0</v>
      </c>
      <c r="AC60" s="545">
        <f ca="1">IF(AND($D60="Serviço",AC$12&lt;&gt;0,$H60&gt;0,OR(AUTOEVENTO&lt;&gt;"manual",$M60&lt;&gt;1)),
IF(Import.TipoArredondamento&lt;&gt;"TransfereGOV",
ROUND(OFFSET($P60,0,AC$13),15-13*ORÇAMENTO!$AF$7)/$H60*OFFSET(ORÇAMENTO!$X$15,ROW(AC60)-ROW(AC$15),0),
ROUND(ROUND(OFFSET($P60,0,AC$13),15-13*ORÇAMENTO!$AF$7)*OFFSET(ORÇAMENTO!$W$15,ROW(AC60)-ROW(AC$15),0),15-13*ORÇAMENTO!$AF$11)),0)</f>
        <v>0</v>
      </c>
      <c r="AD60" s="545">
        <f ca="1">IF(AND($D60="Serviço",AD$12&lt;&gt;0,$H60&gt;0,OR(AUTOEVENTO&lt;&gt;"manual",$M60&lt;&gt;1)),
IF(Import.TipoArredondamento&lt;&gt;"TransfereGOV",
ROUND(OFFSET($P60,0,AD$13),15-13*ORÇAMENTO!$AF$7)/$H60*OFFSET(ORÇAMENTO!$X$15,ROW(AD60)-ROW(AD$15),0),
ROUND(ROUND(OFFSET($P60,0,AD$13),15-13*ORÇAMENTO!$AF$7)*OFFSET(ORÇAMENTO!$W$15,ROW(AD60)-ROW(AD$15),0),15-13*ORÇAMENTO!$AF$11)),0)</f>
        <v>0</v>
      </c>
      <c r="AE60" s="545">
        <f ca="1">IF(AND($D60="Serviço",AE$12&lt;&gt;0,$H60&gt;0,OR(AUTOEVENTO&lt;&gt;"manual",$M60&lt;&gt;1)),
IF(Import.TipoArredondamento&lt;&gt;"TransfereGOV",
ROUND(OFFSET($P60,0,AE$13),15-13*ORÇAMENTO!$AF$7)/$H60*OFFSET(ORÇAMENTO!$X$15,ROW(AE60)-ROW(AE$15),0),
ROUND(ROUND(OFFSET($P60,0,AE$13),15-13*ORÇAMENTO!$AF$7)*OFFSET(ORÇAMENTO!$W$15,ROW(AE60)-ROW(AE$15),0),15-13*ORÇAMENTO!$AF$11)),0)</f>
        <v>0</v>
      </c>
      <c r="AF60" s="545">
        <f ca="1">IF(AND($D60="Serviço",AF$12&lt;&gt;0,$H60&gt;0,OR(AUTOEVENTO&lt;&gt;"manual",$M60&lt;&gt;1)),
IF(Import.TipoArredondamento&lt;&gt;"TransfereGOV",
ROUND(OFFSET($P60,0,AF$13),15-13*ORÇAMENTO!$AF$7)/$H60*OFFSET(ORÇAMENTO!$X$15,ROW(AF60)-ROW(AF$15),0),
ROUND(ROUND(OFFSET($P60,0,AF$13),15-13*ORÇAMENTO!$AF$7)*OFFSET(ORÇAMENTO!$W$15,ROW(AF60)-ROW(AF$15),0),15-13*ORÇAMENTO!$AF$11)),0)</f>
        <v>0</v>
      </c>
      <c r="AG60" s="545">
        <f ca="1">IF(AND($D60="Serviço",AG$12&lt;&gt;0,$H60&gt;0,OR(AUTOEVENTO&lt;&gt;"manual",$M60&lt;&gt;1)),
IF(Import.TipoArredondamento&lt;&gt;"TransfereGOV",
ROUND(OFFSET($P60,0,AG$13),15-13*ORÇAMENTO!$AF$7)/$H60*OFFSET(ORÇAMENTO!$X$15,ROW(AG60)-ROW(AG$15),0),
ROUND(ROUND(OFFSET($P60,0,AG$13),15-13*ORÇAMENTO!$AF$7)*OFFSET(ORÇAMENTO!$W$15,ROW(AG60)-ROW(AG$15),0),15-13*ORÇAMENTO!$AF$11)),0)</f>
        <v>0</v>
      </c>
      <c r="AH60" s="545">
        <f ca="1">IF(AND($D60="Serviço",AH$12&lt;&gt;0,$H60&gt;0,OR(AUTOEVENTO&lt;&gt;"manual",$M60&lt;&gt;1)),
IF(Import.TipoArredondamento&lt;&gt;"TransfereGOV",
ROUND(OFFSET($P60,0,AH$13),15-13*ORÇAMENTO!$AF$7)/$H60*OFFSET(ORÇAMENTO!$X$15,ROW(AH60)-ROW(AH$15),0),
ROUND(ROUND(OFFSET($P60,0,AH$13),15-13*ORÇAMENTO!$AF$7)*OFFSET(ORÇAMENTO!$W$15,ROW(AH60)-ROW(AH$15),0),15-13*ORÇAMENTO!$AF$11)),0)</f>
        <v>0</v>
      </c>
      <c r="AI60" s="545">
        <f ca="1">IF(AND($D60="Serviço",AI$12&lt;&gt;0,$H60&gt;0,OR(AUTOEVENTO&lt;&gt;"manual",$M60&lt;&gt;1)),
IF(Import.TipoArredondamento&lt;&gt;"TransfereGOV",
ROUND(OFFSET($P60,0,AI$13),15-13*ORÇAMENTO!$AF$7)/$H60*OFFSET(ORÇAMENTO!$X$15,ROW(AI60)-ROW(AI$15),0),
ROUND(ROUND(OFFSET($P60,0,AI$13),15-13*ORÇAMENTO!$AF$7)*OFFSET(ORÇAMENTO!$W$15,ROW(AI60)-ROW(AI$15),0),15-13*ORÇAMENTO!$AF$11)),0)</f>
        <v>0</v>
      </c>
      <c r="AJ60" s="545">
        <f ca="1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0</v>
      </c>
      <c r="AK60" s="546">
        <f ca="1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0</v>
      </c>
      <c r="AM60" s="181">
        <f ca="1">IF($D60&lt;&gt;"Serviço",0,IF(AND(AUTOEVENTO="Manual",$M60=1),0,IF(OFFSET(CRONOPLE!$F$14,$M60,AM$13)="",10^12,OFFSET(CRONOPLE!$F$14,$M60,AM$13))))</f>
        <v>1000000000000</v>
      </c>
      <c r="AN60" s="181">
        <f ca="1">IF($D60&lt;&gt;"Serviço",0,IF(AND(AUTOEVENTO="Manual",$M60=1),0,IF(OFFSET(CRONOPLE!$F$14,$M60,AN$13)="",10^12,OFFSET(CRONOPLE!$F$14,$M60,AN$13))))</f>
        <v>1000000000000</v>
      </c>
      <c r="AO60" s="181">
        <f ca="1">IF($D60&lt;&gt;"Serviço",0,IF(AND(AUTOEVENTO="Manual",$M60=1),0,IF(OFFSET(CRONOPLE!$F$14,$M60,AO$13)="",10^12,OFFSET(CRONOPLE!$F$14,$M60,AO$13))))</f>
        <v>1000000000000</v>
      </c>
      <c r="AP60" s="181">
        <f ca="1">IF($D60&lt;&gt;"Serviço",0,IF(AND(AUTOEVENTO="Manual",$M60=1),0,IF(OFFSET(CRONOPLE!$F$14,$M60,AP$13)="",10^12,OFFSET(CRONOPLE!$F$14,$M60,AP$13))))</f>
        <v>1000000000000</v>
      </c>
      <c r="AQ60" s="181">
        <f ca="1">IF($D60&lt;&gt;"Serviço",0,IF(AND(AUTOEVENTO="Manual",$M60=1),0,IF(OFFSET(CRONOPLE!$F$14,$M60,AQ$13)="",10^12,OFFSET(CRONOPLE!$F$14,$M60,AQ$13))))</f>
        <v>1000000000000</v>
      </c>
      <c r="AR60" s="181">
        <f ca="1">IF($D60&lt;&gt;"Serviço",0,IF(AND(AUTOEVENTO="Manual",$M60=1),0,IF(OFFSET(CRONOPLE!$F$14,$M60,AR$13)="",10^12,OFFSET(CRONOPLE!$F$14,$M60,AR$13))))</f>
        <v>1000000000000</v>
      </c>
      <c r="AS60" s="181">
        <f ca="1">IF($D60&lt;&gt;"Serviço",0,IF(AND(AUTOEVENTO="Manual",$M60=1),0,IF(OFFSET(CRONOPLE!$F$14,$M60,AS$13)="",10^12,OFFSET(CRONOPLE!$F$14,$M60,AS$13))))</f>
        <v>1000000000000</v>
      </c>
      <c r="AT60" s="181">
        <f ca="1">IF($D60&lt;&gt;"Serviço",0,IF(AND(AUTOEVENTO="Manual",$M60=1),0,IF(OFFSET(CRONOPLE!$F$14,$M60,AT$13)="",10^12,OFFSET(CRONOPLE!$F$14,$M60,AT$13))))</f>
        <v>1000000000000</v>
      </c>
      <c r="AU60" s="181">
        <f ca="1">IF($D60&lt;&gt;"Serviço",0,IF(AND(AUTOEVENTO="Manual",$M60=1),0,IF(OFFSET(CRONOPLE!$F$14,$M60,AU$13)="",10^12,OFFSET(CRONOPLE!$F$14,$M60,AU$13))))</f>
        <v>1000000000000</v>
      </c>
      <c r="AV60" s="181">
        <f ca="1">IF($D60&lt;&gt;"Serviço",0,IF(AND(AUTOEVENTO="Manual",$M60=1),0,IF(OFFSET(CRONOPLE!$F$14,$M60,AV$13)="",10^12,OFFSET(CRONOPLE!$F$14,$M60,AV$13))))</f>
        <v>1000000000000</v>
      </c>
      <c r="AX60" s="182">
        <f ca="1">IF($D60&lt;&gt;"Serviço",0,IF(OR(AND(AUTOEVENTO="Manual",$M60=1),$M60&gt;(ROW(PLE.lastrow)-ROW(PLE.firstrow))),0,IF(OFFSET(PLE!$G$14,$M60,AX$13)="",10^12,OFFSET(PLE!$G$14,$M60,AX$13))))</f>
        <v>1000000000000</v>
      </c>
      <c r="AY60" s="182">
        <f ca="1">IF($D60&lt;&gt;"Serviço",0,IF(OR(AND(AUTOEVENTO="Manual",$M60=1),$M60&gt;(ROW(PLE.lastrow)-ROW(PLE.firstrow))),0,IF(OFFSET(PLE!$G$14,$M60,AY$13)="",10^12,OFFSET(PLE!$G$14,$M60,AY$13))))</f>
        <v>1000000000000</v>
      </c>
      <c r="AZ60" s="182">
        <f ca="1">IF($D60&lt;&gt;"Serviço",0,IF(OR(AND(AUTOEVENTO="Manual",$M60=1),$M60&gt;(ROW(PLE.lastrow)-ROW(PLE.firstrow))),0,IF(OFFSET(PLE!$G$14,$M60,AZ$13)="",10^12,OFFSET(PLE!$G$14,$M60,AZ$13))))</f>
        <v>1000000000000</v>
      </c>
      <c r="BA60" s="182">
        <f ca="1">IF($D60&lt;&gt;"Serviço",0,IF(OR(AND(AUTOEVENTO="Manual",$M60=1),$M60&gt;(ROW(PLE.lastrow)-ROW(PLE.firstrow))),0,IF(OFFSET(PLE!$G$14,$M60,BA$13)="",10^12,OFFSET(PLE!$G$14,$M60,BA$13))))</f>
        <v>1000000000000</v>
      </c>
      <c r="BB60" s="182">
        <f ca="1">IF($D60&lt;&gt;"Serviço",0,IF(OR(AND(AUTOEVENTO="Manual",$M60=1),$M60&gt;(ROW(PLE.lastrow)-ROW(PLE.firstrow))),0,IF(OFFSET(PLE!$G$14,$M60,BB$13)="",10^12,OFFSET(PLE!$G$14,$M60,BB$13))))</f>
        <v>1000000000000</v>
      </c>
      <c r="BC60" s="182">
        <f ca="1">IF($D60&lt;&gt;"Serviço",0,IF(OR(AND(AUTOEVENTO="Manual",$M60=1),$M60&gt;(ROW(PLE.lastrow)-ROW(PLE.firstrow))),0,IF(OFFSET(PLE!$G$14,$M60,BC$13)="",10^12,OFFSET(PLE!$G$14,$M60,BC$13))))</f>
        <v>1000000000000</v>
      </c>
      <c r="BD60" s="182">
        <f ca="1">IF($D60&lt;&gt;"Serviço",0,IF(OR(AND(AUTOEVENTO="Manual",$M60=1),$M60&gt;(ROW(PLE.lastrow)-ROW(PLE.firstrow))),0,IF(OFFSET(PLE!$G$14,$M60,BD$13)="",10^12,OFFSET(PLE!$G$14,$M60,BD$13))))</f>
        <v>1000000000000</v>
      </c>
      <c r="BE60" s="182">
        <f ca="1">IF($D60&lt;&gt;"Serviço",0,IF(OR(AND(AUTOEVENTO="Manual",$M60=1),$M60&gt;(ROW(PLE.lastrow)-ROW(PLE.firstrow))),0,IF(OFFSET(PLE!$G$14,$M60,BE$13)="",10^12,OFFSET(PLE!$G$14,$M60,BE$13))))</f>
        <v>1000000000000</v>
      </c>
      <c r="BF60" s="182">
        <f ca="1">IF($D60&lt;&gt;"Serviço",0,IF(OR(AND(AUTOEVENTO="Manual",$M60=1),$M60&gt;(ROW(PLE.lastrow)-ROW(PLE.firstrow))),0,IF(OFFSET(PLE!$G$14,$M60,BF$13)="",10^12,OFFSET(PLE!$G$14,$M60,BF$13))))</f>
        <v>1000000000000</v>
      </c>
      <c r="BG60" s="182">
        <f ca="1">IF($D60&lt;&gt;"Serviço",0,IF(OR(AND(AUTOEVENTO="Manual",$M60=1),$M60&gt;(ROW(PLE.lastrow)-ROW(PLE.firstrow))),0,IF(OFFSET(PLE!$G$14,$M60,BG$13)="",10^12,OFFSET(PLE!$G$14,$M60,BG$13))))</f>
        <v>1000000000000</v>
      </c>
    </row>
    <row r="61" spans="1:59" ht="12.75" x14ac:dyDescent="0.2">
      <c r="A61" s="7" t="str">
        <f ca="1">IF(AUTOEVENTO="Manual",IF(K61&lt;&gt;"",MIN(VALUE(LEFT(K61,FIND(".",K61)-1)),COUNTA(EVENTOS.Lista)),0),IF(OR($B61&gt;AUTOEVENTO,$B61="S",$B61=0),SUBSTITUTE(OFFSET($A61,-1,0),IF($D61="Serviço",".",""),""),ROW(A61)-ROW($A$15)&amp;"."))</f>
        <v>43</v>
      </c>
      <c r="B61" s="7" t="str">
        <f ca="1">OFFSET(ORÇAMENTO!C$15,ROW(B61)-ROW(B$15),0)</f>
        <v>S</v>
      </c>
      <c r="C61" s="7" t="str">
        <f ca="1">OFFSET(ORÇAMENTO!L$15,ROW(C61)-ROW(C$15),0)</f>
        <v>F</v>
      </c>
      <c r="D61" s="118" t="str">
        <f ca="1">OFFSET(ORÇAMENTO!N$15,ROW(D61)-ROW(D$15),0)</f>
        <v>Serviço</v>
      </c>
      <c r="E61" s="119" t="str">
        <f ca="1">OFFSET(ORÇAMENTO!O$15,ROW(E61)-ROW(E$15),0)</f>
        <v>4.2.3.</v>
      </c>
      <c r="F61" s="172" t="str">
        <f ca="1">OFFSET(ORÇAMENTO!R$15,ROW(F61)-ROW(F$15),0)</f>
        <v>REVESTIMENTO EM TIJOLO CERÂMICO REFRATÁRIO 2,5X11,40X22,90</v>
      </c>
      <c r="G61" s="173" t="str">
        <f ca="1">IF($D61&lt;&gt;"Serviço","",OFFSET(ORÇAMENTO!S$15,ROW(G61)-ROW(G$15),0))</f>
        <v>M2</v>
      </c>
      <c r="H61" s="124">
        <f ca="1">IF($D61&lt;&gt;"Serviço",0,IF(ACOMPANHAMENTO="BM",ROUND(OFFSET(ORÇAMENTO!AJ$15,ROW(H61)-ROW(H$15),0),15-13*ORÇAMENTO!$AF$7),SUMPRODUCT(($Q$12:$AA$12&lt;&gt;"")*ROUND($Q61:$AA61,15-13*ORÇAMENTO!$AF$7))))</f>
        <v>6.36</v>
      </c>
      <c r="I61" s="561"/>
      <c r="K61" s="174"/>
      <c r="L61" s="175" t="s">
        <v>255</v>
      </c>
      <c r="M61" s="176">
        <f ca="1">IF($D61&lt;&gt;"Serviço","",IF(AUTOEVENTO="manual",$A61,IF(ISERROR(MATCH($A61,$A$15:OFFSET($A61,-1,0),0)),MAX($M$15:OFFSET(M61,-1,0))+1,INDEX($M$15:OFFSET(M61,-1,0),MATCH($A61,$A$15:OFFSET($A61,-1,0),0)))))</f>
        <v>9</v>
      </c>
      <c r="N61" s="177" t="str">
        <f ca="1">IF($D61&lt;&gt;"Serviço","",IF(AUTOEVENTO="Manual",IF($A61=0,"&lt;-- defina o número do agrupador",OFFSET(EVENTOS!$D$14,$A61,0)),OFFSET($F$15,$A61,0)))</f>
        <v>REVESTIMENTOS</v>
      </c>
      <c r="O61" s="178"/>
      <c r="Q61" s="178"/>
      <c r="R61" s="179"/>
      <c r="S61" s="179"/>
      <c r="T61" s="179"/>
      <c r="U61" s="179"/>
      <c r="V61" s="179"/>
      <c r="W61" s="179"/>
      <c r="X61" s="179"/>
      <c r="Y61" s="179"/>
      <c r="Z61" s="180"/>
      <c r="AB61" s="544">
        <f ca="1">IF(AND($D61="Serviço",AB$12&lt;&gt;0,$H61&gt;0,OR(AUTOEVENTO&lt;&gt;"manual",$M61&lt;&gt;1)),
IF(Import.TipoArredondamento&lt;&gt;"TransfereGOV",
ROUND(OFFSET($P61,0,AB$13),15-13*ORÇAMENTO!$AF$7)/$H61*OFFSET(ORÇAMENTO!$X$15,ROW(AB61)-ROW(AB$15),0),
ROUND(ROUND(OFFSET($P61,0,AB$13),15-13*ORÇAMENTO!$AF$7)*OFFSET(ORÇAMENTO!$W$15,ROW(AB61)-ROW(AB$15),0),15-13*ORÇAMENTO!$AF$11)),0)</f>
        <v>0</v>
      </c>
      <c r="AC61" s="545">
        <f ca="1">IF(AND($D61="Serviço",AC$12&lt;&gt;0,$H61&gt;0,OR(AUTOEVENTO&lt;&gt;"manual",$M61&lt;&gt;1)),
IF(Import.TipoArredondamento&lt;&gt;"TransfereGOV",
ROUND(OFFSET($P61,0,AC$13),15-13*ORÇAMENTO!$AF$7)/$H61*OFFSET(ORÇAMENTO!$X$15,ROW(AC61)-ROW(AC$15),0),
ROUND(ROUND(OFFSET($P61,0,AC$13),15-13*ORÇAMENTO!$AF$7)*OFFSET(ORÇAMENTO!$W$15,ROW(AC61)-ROW(AC$15),0),15-13*ORÇAMENTO!$AF$11)),0)</f>
        <v>0</v>
      </c>
      <c r="AD61" s="545">
        <f ca="1">IF(AND($D61="Serviço",AD$12&lt;&gt;0,$H61&gt;0,OR(AUTOEVENTO&lt;&gt;"manual",$M61&lt;&gt;1)),
IF(Import.TipoArredondamento&lt;&gt;"TransfereGOV",
ROUND(OFFSET($P61,0,AD$13),15-13*ORÇAMENTO!$AF$7)/$H61*OFFSET(ORÇAMENTO!$X$15,ROW(AD61)-ROW(AD$15),0),
ROUND(ROUND(OFFSET($P61,0,AD$13),15-13*ORÇAMENTO!$AF$7)*OFFSET(ORÇAMENTO!$W$15,ROW(AD61)-ROW(AD$15),0),15-13*ORÇAMENTO!$AF$11)),0)</f>
        <v>0</v>
      </c>
      <c r="AE61" s="545">
        <f ca="1">IF(AND($D61="Serviço",AE$12&lt;&gt;0,$H61&gt;0,OR(AUTOEVENTO&lt;&gt;"manual",$M61&lt;&gt;1)),
IF(Import.TipoArredondamento&lt;&gt;"TransfereGOV",
ROUND(OFFSET($P61,0,AE$13),15-13*ORÇAMENTO!$AF$7)/$H61*OFFSET(ORÇAMENTO!$X$15,ROW(AE61)-ROW(AE$15),0),
ROUND(ROUND(OFFSET($P61,0,AE$13),15-13*ORÇAMENTO!$AF$7)*OFFSET(ORÇAMENTO!$W$15,ROW(AE61)-ROW(AE$15),0),15-13*ORÇAMENTO!$AF$11)),0)</f>
        <v>0</v>
      </c>
      <c r="AF61" s="545">
        <f ca="1">IF(AND($D61="Serviço",AF$12&lt;&gt;0,$H61&gt;0,OR(AUTOEVENTO&lt;&gt;"manual",$M61&lt;&gt;1)),
IF(Import.TipoArredondamento&lt;&gt;"TransfereGOV",
ROUND(OFFSET($P61,0,AF$13),15-13*ORÇAMENTO!$AF$7)/$H61*OFFSET(ORÇAMENTO!$X$15,ROW(AF61)-ROW(AF$15),0),
ROUND(ROUND(OFFSET($P61,0,AF$13),15-13*ORÇAMENTO!$AF$7)*OFFSET(ORÇAMENTO!$W$15,ROW(AF61)-ROW(AF$15),0),15-13*ORÇAMENTO!$AF$11)),0)</f>
        <v>0</v>
      </c>
      <c r="AG61" s="545">
        <f ca="1">IF(AND($D61="Serviço",AG$12&lt;&gt;0,$H61&gt;0,OR(AUTOEVENTO&lt;&gt;"manual",$M61&lt;&gt;1)),
IF(Import.TipoArredondamento&lt;&gt;"TransfereGOV",
ROUND(OFFSET($P61,0,AG$13),15-13*ORÇAMENTO!$AF$7)/$H61*OFFSET(ORÇAMENTO!$X$15,ROW(AG61)-ROW(AG$15),0),
ROUND(ROUND(OFFSET($P61,0,AG$13),15-13*ORÇAMENTO!$AF$7)*OFFSET(ORÇAMENTO!$W$15,ROW(AG61)-ROW(AG$15),0),15-13*ORÇAMENTO!$AF$11)),0)</f>
        <v>0</v>
      </c>
      <c r="AH61" s="545">
        <f ca="1">IF(AND($D61="Serviço",AH$12&lt;&gt;0,$H61&gt;0,OR(AUTOEVENTO&lt;&gt;"manual",$M61&lt;&gt;1)),
IF(Import.TipoArredondamento&lt;&gt;"TransfereGOV",
ROUND(OFFSET($P61,0,AH$13),15-13*ORÇAMENTO!$AF$7)/$H61*OFFSET(ORÇAMENTO!$X$15,ROW(AH61)-ROW(AH$15),0),
ROUND(ROUND(OFFSET($P61,0,AH$13),15-13*ORÇAMENTO!$AF$7)*OFFSET(ORÇAMENTO!$W$15,ROW(AH61)-ROW(AH$15),0),15-13*ORÇAMENTO!$AF$11)),0)</f>
        <v>0</v>
      </c>
      <c r="AI61" s="545">
        <f ca="1">IF(AND($D61="Serviço",AI$12&lt;&gt;0,$H61&gt;0,OR(AUTOEVENTO&lt;&gt;"manual",$M61&lt;&gt;1)),
IF(Import.TipoArredondamento&lt;&gt;"TransfereGOV",
ROUND(OFFSET($P61,0,AI$13),15-13*ORÇAMENTO!$AF$7)/$H61*OFFSET(ORÇAMENTO!$X$15,ROW(AI61)-ROW(AI$15),0),
ROUND(ROUND(OFFSET($P61,0,AI$13),15-13*ORÇAMENTO!$AF$7)*OFFSET(ORÇAMENTO!$W$15,ROW(AI61)-ROW(AI$15),0),15-13*ORÇAMENTO!$AF$11)),0)</f>
        <v>0</v>
      </c>
      <c r="AJ61" s="545">
        <f ca="1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0</v>
      </c>
      <c r="AK61" s="546">
        <f ca="1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0</v>
      </c>
      <c r="AM61" s="181">
        <f ca="1">IF($D61&lt;&gt;"Serviço",0,IF(AND(AUTOEVENTO="Manual",$M61=1),0,IF(OFFSET(CRONOPLE!$F$14,$M61,AM$13)="",10^12,OFFSET(CRONOPLE!$F$14,$M61,AM$13))))</f>
        <v>1000000000000</v>
      </c>
      <c r="AN61" s="181">
        <f ca="1">IF($D61&lt;&gt;"Serviço",0,IF(AND(AUTOEVENTO="Manual",$M61=1),0,IF(OFFSET(CRONOPLE!$F$14,$M61,AN$13)="",10^12,OFFSET(CRONOPLE!$F$14,$M61,AN$13))))</f>
        <v>1000000000000</v>
      </c>
      <c r="AO61" s="181">
        <f ca="1">IF($D61&lt;&gt;"Serviço",0,IF(AND(AUTOEVENTO="Manual",$M61=1),0,IF(OFFSET(CRONOPLE!$F$14,$M61,AO$13)="",10^12,OFFSET(CRONOPLE!$F$14,$M61,AO$13))))</f>
        <v>1000000000000</v>
      </c>
      <c r="AP61" s="181">
        <f ca="1">IF($D61&lt;&gt;"Serviço",0,IF(AND(AUTOEVENTO="Manual",$M61=1),0,IF(OFFSET(CRONOPLE!$F$14,$M61,AP$13)="",10^12,OFFSET(CRONOPLE!$F$14,$M61,AP$13))))</f>
        <v>1000000000000</v>
      </c>
      <c r="AQ61" s="181">
        <f ca="1">IF($D61&lt;&gt;"Serviço",0,IF(AND(AUTOEVENTO="Manual",$M61=1),0,IF(OFFSET(CRONOPLE!$F$14,$M61,AQ$13)="",10^12,OFFSET(CRONOPLE!$F$14,$M61,AQ$13))))</f>
        <v>1000000000000</v>
      </c>
      <c r="AR61" s="181">
        <f ca="1">IF($D61&lt;&gt;"Serviço",0,IF(AND(AUTOEVENTO="Manual",$M61=1),0,IF(OFFSET(CRONOPLE!$F$14,$M61,AR$13)="",10^12,OFFSET(CRONOPLE!$F$14,$M61,AR$13))))</f>
        <v>1000000000000</v>
      </c>
      <c r="AS61" s="181">
        <f ca="1">IF($D61&lt;&gt;"Serviço",0,IF(AND(AUTOEVENTO="Manual",$M61=1),0,IF(OFFSET(CRONOPLE!$F$14,$M61,AS$13)="",10^12,OFFSET(CRONOPLE!$F$14,$M61,AS$13))))</f>
        <v>1000000000000</v>
      </c>
      <c r="AT61" s="181">
        <f ca="1">IF($D61&lt;&gt;"Serviço",0,IF(AND(AUTOEVENTO="Manual",$M61=1),0,IF(OFFSET(CRONOPLE!$F$14,$M61,AT$13)="",10^12,OFFSET(CRONOPLE!$F$14,$M61,AT$13))))</f>
        <v>1000000000000</v>
      </c>
      <c r="AU61" s="181">
        <f ca="1">IF($D61&lt;&gt;"Serviço",0,IF(AND(AUTOEVENTO="Manual",$M61=1),0,IF(OFFSET(CRONOPLE!$F$14,$M61,AU$13)="",10^12,OFFSET(CRONOPLE!$F$14,$M61,AU$13))))</f>
        <v>1000000000000</v>
      </c>
      <c r="AV61" s="181">
        <f ca="1">IF($D61&lt;&gt;"Serviço",0,IF(AND(AUTOEVENTO="Manual",$M61=1),0,IF(OFFSET(CRONOPLE!$F$14,$M61,AV$13)="",10^12,OFFSET(CRONOPLE!$F$14,$M61,AV$13))))</f>
        <v>1000000000000</v>
      </c>
      <c r="AX61" s="182">
        <f ca="1">IF($D61&lt;&gt;"Serviço",0,IF(OR(AND(AUTOEVENTO="Manual",$M61=1),$M61&gt;(ROW(PLE.lastrow)-ROW(PLE.firstrow))),0,IF(OFFSET(PLE!$G$14,$M61,AX$13)="",10^12,OFFSET(PLE!$G$14,$M61,AX$13))))</f>
        <v>1000000000000</v>
      </c>
      <c r="AY61" s="182">
        <f ca="1">IF($D61&lt;&gt;"Serviço",0,IF(OR(AND(AUTOEVENTO="Manual",$M61=1),$M61&gt;(ROW(PLE.lastrow)-ROW(PLE.firstrow))),0,IF(OFFSET(PLE!$G$14,$M61,AY$13)="",10^12,OFFSET(PLE!$G$14,$M61,AY$13))))</f>
        <v>1000000000000</v>
      </c>
      <c r="AZ61" s="182">
        <f ca="1">IF($D61&lt;&gt;"Serviço",0,IF(OR(AND(AUTOEVENTO="Manual",$M61=1),$M61&gt;(ROW(PLE.lastrow)-ROW(PLE.firstrow))),0,IF(OFFSET(PLE!$G$14,$M61,AZ$13)="",10^12,OFFSET(PLE!$G$14,$M61,AZ$13))))</f>
        <v>1000000000000</v>
      </c>
      <c r="BA61" s="182">
        <f ca="1">IF($D61&lt;&gt;"Serviço",0,IF(OR(AND(AUTOEVENTO="Manual",$M61=1),$M61&gt;(ROW(PLE.lastrow)-ROW(PLE.firstrow))),0,IF(OFFSET(PLE!$G$14,$M61,BA$13)="",10^12,OFFSET(PLE!$G$14,$M61,BA$13))))</f>
        <v>1000000000000</v>
      </c>
      <c r="BB61" s="182">
        <f ca="1">IF($D61&lt;&gt;"Serviço",0,IF(OR(AND(AUTOEVENTO="Manual",$M61=1),$M61&gt;(ROW(PLE.lastrow)-ROW(PLE.firstrow))),0,IF(OFFSET(PLE!$G$14,$M61,BB$13)="",10^12,OFFSET(PLE!$G$14,$M61,BB$13))))</f>
        <v>1000000000000</v>
      </c>
      <c r="BC61" s="182">
        <f ca="1">IF($D61&lt;&gt;"Serviço",0,IF(OR(AND(AUTOEVENTO="Manual",$M61=1),$M61&gt;(ROW(PLE.lastrow)-ROW(PLE.firstrow))),0,IF(OFFSET(PLE!$G$14,$M61,BC$13)="",10^12,OFFSET(PLE!$G$14,$M61,BC$13))))</f>
        <v>1000000000000</v>
      </c>
      <c r="BD61" s="182">
        <f ca="1">IF($D61&lt;&gt;"Serviço",0,IF(OR(AND(AUTOEVENTO="Manual",$M61=1),$M61&gt;(ROW(PLE.lastrow)-ROW(PLE.firstrow))),0,IF(OFFSET(PLE!$G$14,$M61,BD$13)="",10^12,OFFSET(PLE!$G$14,$M61,BD$13))))</f>
        <v>1000000000000</v>
      </c>
      <c r="BE61" s="182">
        <f ca="1">IF($D61&lt;&gt;"Serviço",0,IF(OR(AND(AUTOEVENTO="Manual",$M61=1),$M61&gt;(ROW(PLE.lastrow)-ROW(PLE.firstrow))),0,IF(OFFSET(PLE!$G$14,$M61,BE$13)="",10^12,OFFSET(PLE!$G$14,$M61,BE$13))))</f>
        <v>1000000000000</v>
      </c>
      <c r="BF61" s="182">
        <f ca="1">IF($D61&lt;&gt;"Serviço",0,IF(OR(AND(AUTOEVENTO="Manual",$M61=1),$M61&gt;(ROW(PLE.lastrow)-ROW(PLE.firstrow))),0,IF(OFFSET(PLE!$G$14,$M61,BF$13)="",10^12,OFFSET(PLE!$G$14,$M61,BF$13))))</f>
        <v>1000000000000</v>
      </c>
      <c r="BG61" s="182">
        <f ca="1">IF($D61&lt;&gt;"Serviço",0,IF(OR(AND(AUTOEVENTO="Manual",$M61=1),$M61&gt;(ROW(PLE.lastrow)-ROW(PLE.firstrow))),0,IF(OFFSET(PLE!$G$14,$M61,BG$13)="",10^12,OFFSET(PLE!$G$14,$M61,BG$13))))</f>
        <v>1000000000000</v>
      </c>
    </row>
    <row r="62" spans="1:59" ht="12.75" x14ac:dyDescent="0.2">
      <c r="A62" s="7" t="str">
        <f t="shared" ca="1" si="10"/>
        <v>47.</v>
      </c>
      <c r="B62" s="7">
        <f ca="1">OFFSET(ORÇAMENTO!C$15,ROW(B62)-ROW(B$15),0)</f>
        <v>2</v>
      </c>
      <c r="C62" s="7" t="str">
        <f ca="1">OFFSET(ORÇAMENTO!L$15,ROW(C62)-ROW(C$15),0)</f>
        <v>F</v>
      </c>
      <c r="D62" s="118" t="str">
        <f ca="1">OFFSET(ORÇAMENTO!N$15,ROW(D62)-ROW(D$15),0)</f>
        <v>Nível 2</v>
      </c>
      <c r="E62" s="119" t="str">
        <f ca="1">OFFSET(ORÇAMENTO!O$15,ROW(E62)-ROW(E$15),0)</f>
        <v>4.3.</v>
      </c>
      <c r="F62" s="172" t="str">
        <f ca="1">OFFSET(ORÇAMENTO!R$15,ROW(F62)-ROW(F$15),0)</f>
        <v xml:space="preserve">ESQUADRIAS </v>
      </c>
      <c r="G62" s="173" t="str">
        <f ca="1">IF($D62&lt;&gt;"Serviço","",OFFSET(ORÇAMENTO!S$15,ROW(G62)-ROW(G$15),0))</f>
        <v/>
      </c>
      <c r="H62" s="124">
        <f ca="1">IF($D62&lt;&gt;"Serviço",0,IF(ACOMPANHAMENTO="BM",ROUND(OFFSET(ORÇAMENTO!AJ$15,ROW(H62)-ROW(H$15),0),15-13*ORÇAMENTO!$AF$7),SUMPRODUCT(($Q$12:$AA$12&lt;&gt;"")*ROUND($Q62:$AA62,15-13*ORÇAMENTO!$AF$7))))</f>
        <v>0</v>
      </c>
      <c r="I62" s="561"/>
      <c r="K62" s="174"/>
      <c r="L62" s="175" t="s">
        <v>255</v>
      </c>
      <c r="M62" s="176" t="str">
        <f ca="1">IF($D62&lt;&gt;"Serviço","",IF(AUTOEVENTO="manual",$A62,IF(ISERROR(MATCH($A62,$A$15:OFFSET($A62,-1,0),0)),MAX($M$15:OFFSET(M62,-1,0))+1,INDEX($M$15:OFFSET(M62,-1,0),MATCH($A62,$A$15:OFFSET($A62,-1,0),0)))))</f>
        <v/>
      </c>
      <c r="N62" s="177" t="str">
        <f ca="1">IF($D62&lt;&gt;"Serviço","",IF(AUTOEVENTO="Manual",IF($A62=0,"&lt;-- defina o número do agrupador",OFFSET(EVENTOS!$D$14,$A62,0)),OFFSET($F$15,$A62,0)))</f>
        <v/>
      </c>
      <c r="O62" s="178"/>
      <c r="Q62" s="178"/>
      <c r="R62" s="179"/>
      <c r="S62" s="179"/>
      <c r="T62" s="179"/>
      <c r="U62" s="179"/>
      <c r="V62" s="179"/>
      <c r="W62" s="179"/>
      <c r="X62" s="179"/>
      <c r="Y62" s="179"/>
      <c r="Z62" s="180"/>
      <c r="AB62" s="544">
        <f ca="1">IF(AND($D62="Serviço",AB$12&lt;&gt;0,$H62&gt;0,OR(AUTOEVENTO&lt;&gt;"manual",$M62&lt;&gt;1)),
IF(Import.TipoArredondamento&lt;&gt;"TransfereGOV",
ROUND(OFFSET($P62,0,AB$13),15-13*ORÇAMENTO!$AF$7)/$H62*OFFSET(ORÇAMENTO!$X$15,ROW(AB62)-ROW(AB$15),0),
ROUND(ROUND(OFFSET($P62,0,AB$13),15-13*ORÇAMENTO!$AF$7)*OFFSET(ORÇAMENTO!$W$15,ROW(AB62)-ROW(AB$15),0),15-13*ORÇAMENTO!$AF$11)),0)</f>
        <v>0</v>
      </c>
      <c r="AC62" s="545">
        <f ca="1">IF(AND($D62="Serviço",AC$12&lt;&gt;0,$H62&gt;0,OR(AUTOEVENTO&lt;&gt;"manual",$M62&lt;&gt;1)),
IF(Import.TipoArredondamento&lt;&gt;"TransfereGOV",
ROUND(OFFSET($P62,0,AC$13),15-13*ORÇAMENTO!$AF$7)/$H62*OFFSET(ORÇAMENTO!$X$15,ROW(AC62)-ROW(AC$15),0),
ROUND(ROUND(OFFSET($P62,0,AC$13),15-13*ORÇAMENTO!$AF$7)*OFFSET(ORÇAMENTO!$W$15,ROW(AC62)-ROW(AC$15),0),15-13*ORÇAMENTO!$AF$11)),0)</f>
        <v>0</v>
      </c>
      <c r="AD62" s="545">
        <f ca="1">IF(AND($D62="Serviço",AD$12&lt;&gt;0,$H62&gt;0,OR(AUTOEVENTO&lt;&gt;"manual",$M62&lt;&gt;1)),
IF(Import.TipoArredondamento&lt;&gt;"TransfereGOV",
ROUND(OFFSET($P62,0,AD$13),15-13*ORÇAMENTO!$AF$7)/$H62*OFFSET(ORÇAMENTO!$X$15,ROW(AD62)-ROW(AD$15),0),
ROUND(ROUND(OFFSET($P62,0,AD$13),15-13*ORÇAMENTO!$AF$7)*OFFSET(ORÇAMENTO!$W$15,ROW(AD62)-ROW(AD$15),0),15-13*ORÇAMENTO!$AF$11)),0)</f>
        <v>0</v>
      </c>
      <c r="AE62" s="545">
        <f ca="1">IF(AND($D62="Serviço",AE$12&lt;&gt;0,$H62&gt;0,OR(AUTOEVENTO&lt;&gt;"manual",$M62&lt;&gt;1)),
IF(Import.TipoArredondamento&lt;&gt;"TransfereGOV",
ROUND(OFFSET($P62,0,AE$13),15-13*ORÇAMENTO!$AF$7)/$H62*OFFSET(ORÇAMENTO!$X$15,ROW(AE62)-ROW(AE$15),0),
ROUND(ROUND(OFFSET($P62,0,AE$13),15-13*ORÇAMENTO!$AF$7)*OFFSET(ORÇAMENTO!$W$15,ROW(AE62)-ROW(AE$15),0),15-13*ORÇAMENTO!$AF$11)),0)</f>
        <v>0</v>
      </c>
      <c r="AF62" s="545">
        <f ca="1">IF(AND($D62="Serviço",AF$12&lt;&gt;0,$H62&gt;0,OR(AUTOEVENTO&lt;&gt;"manual",$M62&lt;&gt;1)),
IF(Import.TipoArredondamento&lt;&gt;"TransfereGOV",
ROUND(OFFSET($P62,0,AF$13),15-13*ORÇAMENTO!$AF$7)/$H62*OFFSET(ORÇAMENTO!$X$15,ROW(AF62)-ROW(AF$15),0),
ROUND(ROUND(OFFSET($P62,0,AF$13),15-13*ORÇAMENTO!$AF$7)*OFFSET(ORÇAMENTO!$W$15,ROW(AF62)-ROW(AF$15),0),15-13*ORÇAMENTO!$AF$11)),0)</f>
        <v>0</v>
      </c>
      <c r="AG62" s="545">
        <f ca="1">IF(AND($D62="Serviço",AG$12&lt;&gt;0,$H62&gt;0,OR(AUTOEVENTO&lt;&gt;"manual",$M62&lt;&gt;1)),
IF(Import.TipoArredondamento&lt;&gt;"TransfereGOV",
ROUND(OFFSET($P62,0,AG$13),15-13*ORÇAMENTO!$AF$7)/$H62*OFFSET(ORÇAMENTO!$X$15,ROW(AG62)-ROW(AG$15),0),
ROUND(ROUND(OFFSET($P62,0,AG$13),15-13*ORÇAMENTO!$AF$7)*OFFSET(ORÇAMENTO!$W$15,ROW(AG62)-ROW(AG$15),0),15-13*ORÇAMENTO!$AF$11)),0)</f>
        <v>0</v>
      </c>
      <c r="AH62" s="545">
        <f ca="1">IF(AND($D62="Serviço",AH$12&lt;&gt;0,$H62&gt;0,OR(AUTOEVENTO&lt;&gt;"manual",$M62&lt;&gt;1)),
IF(Import.TipoArredondamento&lt;&gt;"TransfereGOV",
ROUND(OFFSET($P62,0,AH$13),15-13*ORÇAMENTO!$AF$7)/$H62*OFFSET(ORÇAMENTO!$X$15,ROW(AH62)-ROW(AH$15),0),
ROUND(ROUND(OFFSET($P62,0,AH$13),15-13*ORÇAMENTO!$AF$7)*OFFSET(ORÇAMENTO!$W$15,ROW(AH62)-ROW(AH$15),0),15-13*ORÇAMENTO!$AF$11)),0)</f>
        <v>0</v>
      </c>
      <c r="AI62" s="545">
        <f ca="1">IF(AND($D62="Serviço",AI$12&lt;&gt;0,$H62&gt;0,OR(AUTOEVENTO&lt;&gt;"manual",$M62&lt;&gt;1)),
IF(Import.TipoArredondamento&lt;&gt;"TransfereGOV",
ROUND(OFFSET($P62,0,AI$13),15-13*ORÇAMENTO!$AF$7)/$H62*OFFSET(ORÇAMENTO!$X$15,ROW(AI62)-ROW(AI$15),0),
ROUND(ROUND(OFFSET($P62,0,AI$13),15-13*ORÇAMENTO!$AF$7)*OFFSET(ORÇAMENTO!$W$15,ROW(AI62)-ROW(AI$15),0),15-13*ORÇAMENTO!$AF$11)),0)</f>
        <v>0</v>
      </c>
      <c r="AJ62" s="545">
        <f ca="1">IF(AND($D62="Serviço",AJ$12&lt;&gt;0,$H62&gt;0,OR(AUTOEVENTO&lt;&gt;"manual",$M62&lt;&gt;1)),
IF(Import.TipoArredondamento&lt;&gt;"TransfereGOV",
ROUND(OFFSET($P62,0,AJ$13),15-13*ORÇAMENTO!$AF$7)/$H62*OFFSET(ORÇAMENTO!$X$15,ROW(AJ62)-ROW(AJ$15),0),
ROUND(ROUND(OFFSET($P62,0,AJ$13),15-13*ORÇAMENTO!$AF$7)*OFFSET(ORÇAMENTO!$W$15,ROW(AJ62)-ROW(AJ$15),0),15-13*ORÇAMENTO!$AF$11)),0)</f>
        <v>0</v>
      </c>
      <c r="AK62" s="546">
        <f ca="1">IF(AND($D62="Serviço",AK$12&lt;&gt;0,$H62&gt;0,OR(AUTOEVENTO&lt;&gt;"manual",$M62&lt;&gt;1)),
IF(Import.TipoArredondamento&lt;&gt;"TransfereGOV",
ROUND(OFFSET($P62,0,AK$13),15-13*ORÇAMENTO!$AF$7)/$H62*OFFSET(ORÇAMENTO!$X$15,ROW(AK62)-ROW(AK$15),0),
ROUND(ROUND(OFFSET($P62,0,AK$13),15-13*ORÇAMENTO!$AF$7)*OFFSET(ORÇAMENTO!$W$15,ROW(AK62)-ROW(AK$15),0),15-13*ORÇAMENTO!$AF$11)),0)</f>
        <v>0</v>
      </c>
      <c r="AM62" s="181">
        <f ca="1">IF($D62&lt;&gt;"Serviço",0,IF(AND(AUTOEVENTO="Manual",$M62=1),0,IF(OFFSET(CRONOPLE!$F$14,$M62,AM$13)="",10^12,OFFSET(CRONOPLE!$F$14,$M62,AM$13))))</f>
        <v>0</v>
      </c>
      <c r="AN62" s="181">
        <f ca="1">IF($D62&lt;&gt;"Serviço",0,IF(AND(AUTOEVENTO="Manual",$M62=1),0,IF(OFFSET(CRONOPLE!$F$14,$M62,AN$13)="",10^12,OFFSET(CRONOPLE!$F$14,$M62,AN$13))))</f>
        <v>0</v>
      </c>
      <c r="AO62" s="181">
        <f ca="1">IF($D62&lt;&gt;"Serviço",0,IF(AND(AUTOEVENTO="Manual",$M62=1),0,IF(OFFSET(CRONOPLE!$F$14,$M62,AO$13)="",10^12,OFFSET(CRONOPLE!$F$14,$M62,AO$13))))</f>
        <v>0</v>
      </c>
      <c r="AP62" s="181">
        <f ca="1">IF($D62&lt;&gt;"Serviço",0,IF(AND(AUTOEVENTO="Manual",$M62=1),0,IF(OFFSET(CRONOPLE!$F$14,$M62,AP$13)="",10^12,OFFSET(CRONOPLE!$F$14,$M62,AP$13))))</f>
        <v>0</v>
      </c>
      <c r="AQ62" s="181">
        <f ca="1">IF($D62&lt;&gt;"Serviço",0,IF(AND(AUTOEVENTO="Manual",$M62=1),0,IF(OFFSET(CRONOPLE!$F$14,$M62,AQ$13)="",10^12,OFFSET(CRONOPLE!$F$14,$M62,AQ$13))))</f>
        <v>0</v>
      </c>
      <c r="AR62" s="181">
        <f ca="1">IF($D62&lt;&gt;"Serviço",0,IF(AND(AUTOEVENTO="Manual",$M62=1),0,IF(OFFSET(CRONOPLE!$F$14,$M62,AR$13)="",10^12,OFFSET(CRONOPLE!$F$14,$M62,AR$13))))</f>
        <v>0</v>
      </c>
      <c r="AS62" s="181">
        <f ca="1">IF($D62&lt;&gt;"Serviço",0,IF(AND(AUTOEVENTO="Manual",$M62=1),0,IF(OFFSET(CRONOPLE!$F$14,$M62,AS$13)="",10^12,OFFSET(CRONOPLE!$F$14,$M62,AS$13))))</f>
        <v>0</v>
      </c>
      <c r="AT62" s="181">
        <f ca="1">IF($D62&lt;&gt;"Serviço",0,IF(AND(AUTOEVENTO="Manual",$M62=1),0,IF(OFFSET(CRONOPLE!$F$14,$M62,AT$13)="",10^12,OFFSET(CRONOPLE!$F$14,$M62,AT$13))))</f>
        <v>0</v>
      </c>
      <c r="AU62" s="181">
        <f ca="1">IF($D62&lt;&gt;"Serviço",0,IF(AND(AUTOEVENTO="Manual",$M62=1),0,IF(OFFSET(CRONOPLE!$F$14,$M62,AU$13)="",10^12,OFFSET(CRONOPLE!$F$14,$M62,AU$13))))</f>
        <v>0</v>
      </c>
      <c r="AV62" s="181">
        <f ca="1">IF($D62&lt;&gt;"Serviço",0,IF(AND(AUTOEVENTO="Manual",$M62=1),0,IF(OFFSET(CRONOPLE!$F$14,$M62,AV$13)="",10^12,OFFSET(CRONOPLE!$F$14,$M62,AV$13))))</f>
        <v>0</v>
      </c>
      <c r="AX62" s="182">
        <f ca="1">IF($D62&lt;&gt;"Serviço",0,IF(OR(AND(AUTOEVENTO="Manual",$M62=1),$M62&gt;(ROW(PLE.lastrow)-ROW(PLE.firstrow))),0,IF(OFFSET(PLE!$G$14,$M62,AX$13)="",10^12,OFFSET(PLE!$G$14,$M62,AX$13))))</f>
        <v>0</v>
      </c>
      <c r="AY62" s="182">
        <f ca="1">IF($D62&lt;&gt;"Serviço",0,IF(OR(AND(AUTOEVENTO="Manual",$M62=1),$M62&gt;(ROW(PLE.lastrow)-ROW(PLE.firstrow))),0,IF(OFFSET(PLE!$G$14,$M62,AY$13)="",10^12,OFFSET(PLE!$G$14,$M62,AY$13))))</f>
        <v>0</v>
      </c>
      <c r="AZ62" s="182">
        <f ca="1">IF($D62&lt;&gt;"Serviço",0,IF(OR(AND(AUTOEVENTO="Manual",$M62=1),$M62&gt;(ROW(PLE.lastrow)-ROW(PLE.firstrow))),0,IF(OFFSET(PLE!$G$14,$M62,AZ$13)="",10^12,OFFSET(PLE!$G$14,$M62,AZ$13))))</f>
        <v>0</v>
      </c>
      <c r="BA62" s="182">
        <f ca="1">IF($D62&lt;&gt;"Serviço",0,IF(OR(AND(AUTOEVENTO="Manual",$M62=1),$M62&gt;(ROW(PLE.lastrow)-ROW(PLE.firstrow))),0,IF(OFFSET(PLE!$G$14,$M62,BA$13)="",10^12,OFFSET(PLE!$G$14,$M62,BA$13))))</f>
        <v>0</v>
      </c>
      <c r="BB62" s="182">
        <f ca="1">IF($D62&lt;&gt;"Serviço",0,IF(OR(AND(AUTOEVENTO="Manual",$M62=1),$M62&gt;(ROW(PLE.lastrow)-ROW(PLE.firstrow))),0,IF(OFFSET(PLE!$G$14,$M62,BB$13)="",10^12,OFFSET(PLE!$G$14,$M62,BB$13))))</f>
        <v>0</v>
      </c>
      <c r="BC62" s="182">
        <f ca="1">IF($D62&lt;&gt;"Serviço",0,IF(OR(AND(AUTOEVENTO="Manual",$M62=1),$M62&gt;(ROW(PLE.lastrow)-ROW(PLE.firstrow))),0,IF(OFFSET(PLE!$G$14,$M62,BC$13)="",10^12,OFFSET(PLE!$G$14,$M62,BC$13))))</f>
        <v>0</v>
      </c>
      <c r="BD62" s="182">
        <f ca="1">IF($D62&lt;&gt;"Serviço",0,IF(OR(AND(AUTOEVENTO="Manual",$M62=1),$M62&gt;(ROW(PLE.lastrow)-ROW(PLE.firstrow))),0,IF(OFFSET(PLE!$G$14,$M62,BD$13)="",10^12,OFFSET(PLE!$G$14,$M62,BD$13))))</f>
        <v>0</v>
      </c>
      <c r="BE62" s="182">
        <f ca="1">IF($D62&lt;&gt;"Serviço",0,IF(OR(AND(AUTOEVENTO="Manual",$M62=1),$M62&gt;(ROW(PLE.lastrow)-ROW(PLE.firstrow))),0,IF(OFFSET(PLE!$G$14,$M62,BE$13)="",10^12,OFFSET(PLE!$G$14,$M62,BE$13))))</f>
        <v>0</v>
      </c>
      <c r="BF62" s="182">
        <f ca="1">IF($D62&lt;&gt;"Serviço",0,IF(OR(AND(AUTOEVENTO="Manual",$M62=1),$M62&gt;(ROW(PLE.lastrow)-ROW(PLE.firstrow))),0,IF(OFFSET(PLE!$G$14,$M62,BF$13)="",10^12,OFFSET(PLE!$G$14,$M62,BF$13))))</f>
        <v>0</v>
      </c>
      <c r="BG62" s="182">
        <f ca="1">IF($D62&lt;&gt;"Serviço",0,IF(OR(AND(AUTOEVENTO="Manual",$M62=1),$M62&gt;(ROW(PLE.lastrow)-ROW(PLE.firstrow))),0,IF(OFFSET(PLE!$G$14,$M62,BG$13)="",10^12,OFFSET(PLE!$G$14,$M62,BG$13))))</f>
        <v>0</v>
      </c>
    </row>
    <row r="63" spans="1:59" ht="38.25" x14ac:dyDescent="0.2">
      <c r="A63" s="7" t="str">
        <f t="shared" ca="1" si="10"/>
        <v>47</v>
      </c>
      <c r="B63" s="7" t="str">
        <f ca="1">OFFSET(ORÇAMENTO!C$15,ROW(B63)-ROW(B$15),0)</f>
        <v>S</v>
      </c>
      <c r="C63" s="7" t="str">
        <f ca="1">OFFSET(ORÇAMENTO!L$15,ROW(C63)-ROW(C$15),0)</f>
        <v>F</v>
      </c>
      <c r="D63" s="118" t="str">
        <f ca="1">OFFSET(ORÇAMENTO!N$15,ROW(D63)-ROW(D$15),0)</f>
        <v>Serviço</v>
      </c>
      <c r="E63" s="119" t="str">
        <f ca="1">OFFSET(ORÇAMENTO!O$15,ROW(E63)-ROW(E$15),0)</f>
        <v>4.3.1.</v>
      </c>
      <c r="F63" s="172" t="str">
        <f ca="1">OFFSET(ORÇAMENTO!R$15,ROW(F63)-ROW(F$15),0)</f>
        <v>PORTA EM AÇO DE ABRIR PARA VIDRO SEM GUARNIÇÃO, 90X210CM, FIXAÇÃO COM PARAFUSOS, EXCLUSIVE VIDROS - FORNECIMENTO E INSTALAÇÃO. AF_10/2025</v>
      </c>
      <c r="G63" s="173" t="str">
        <f ca="1">IF($D63&lt;&gt;"Serviço","",OFFSET(ORÇAMENTO!S$15,ROW(G63)-ROW(G$15),0))</f>
        <v>UN</v>
      </c>
      <c r="H63" s="124">
        <f ca="1">IF($D63&lt;&gt;"Serviço",0,IF(ACOMPANHAMENTO="BM",ROUND(OFFSET(ORÇAMENTO!AJ$15,ROW(H63)-ROW(H$15),0),15-13*ORÇAMENTO!$AF$7),SUMPRODUCT(($Q$12:$AA$12&lt;&gt;"")*ROUND($Q63:$AA63,15-13*ORÇAMENTO!$AF$7))))</f>
        <v>7</v>
      </c>
      <c r="I63" s="561"/>
      <c r="K63" s="174"/>
      <c r="L63" s="175" t="s">
        <v>255</v>
      </c>
      <c r="M63" s="176">
        <f ca="1">IF($D63&lt;&gt;"Serviço","",IF(AUTOEVENTO="manual",$A63,IF(ISERROR(MATCH($A63,$A$15:OFFSET($A63,-1,0),0)),MAX($M$15:OFFSET(M63,-1,0))+1,INDEX($M$15:OFFSET(M63,-1,0),MATCH($A63,$A$15:OFFSET($A63,-1,0),0)))))</f>
        <v>10</v>
      </c>
      <c r="N63" s="177" t="str">
        <f ca="1">IF($D63&lt;&gt;"Serviço","",IF(AUTOEVENTO="Manual",IF($A63=0,"&lt;-- defina o número do agrupador",OFFSET(EVENTOS!$D$14,$A63,0)),OFFSET($F$15,$A63,0)))</f>
        <v xml:space="preserve">ESQUADRIAS </v>
      </c>
      <c r="O63" s="178"/>
      <c r="Q63" s="178"/>
      <c r="R63" s="179"/>
      <c r="S63" s="179"/>
      <c r="T63" s="179"/>
      <c r="U63" s="179"/>
      <c r="V63" s="179"/>
      <c r="W63" s="179"/>
      <c r="X63" s="179"/>
      <c r="Y63" s="179"/>
      <c r="Z63" s="180"/>
      <c r="AB63" s="544">
        <f ca="1">IF(AND($D63="Serviço",AB$12&lt;&gt;0,$H63&gt;0,OR(AUTOEVENTO&lt;&gt;"manual",$M63&lt;&gt;1)),
IF(Import.TipoArredondamento&lt;&gt;"TransfereGOV",
ROUND(OFFSET($P63,0,AB$13),15-13*ORÇAMENTO!$AF$7)/$H63*OFFSET(ORÇAMENTO!$X$15,ROW(AB63)-ROW(AB$15),0),
ROUND(ROUND(OFFSET($P63,0,AB$13),15-13*ORÇAMENTO!$AF$7)*OFFSET(ORÇAMENTO!$W$15,ROW(AB63)-ROW(AB$15),0),15-13*ORÇAMENTO!$AF$11)),0)</f>
        <v>0</v>
      </c>
      <c r="AC63" s="545">
        <f ca="1">IF(AND($D63="Serviço",AC$12&lt;&gt;0,$H63&gt;0,OR(AUTOEVENTO&lt;&gt;"manual",$M63&lt;&gt;1)),
IF(Import.TipoArredondamento&lt;&gt;"TransfereGOV",
ROUND(OFFSET($P63,0,AC$13),15-13*ORÇAMENTO!$AF$7)/$H63*OFFSET(ORÇAMENTO!$X$15,ROW(AC63)-ROW(AC$15),0),
ROUND(ROUND(OFFSET($P63,0,AC$13),15-13*ORÇAMENTO!$AF$7)*OFFSET(ORÇAMENTO!$W$15,ROW(AC63)-ROW(AC$15),0),15-13*ORÇAMENTO!$AF$11)),0)</f>
        <v>0</v>
      </c>
      <c r="AD63" s="545">
        <f ca="1">IF(AND($D63="Serviço",AD$12&lt;&gt;0,$H63&gt;0,OR(AUTOEVENTO&lt;&gt;"manual",$M63&lt;&gt;1)),
IF(Import.TipoArredondamento&lt;&gt;"TransfereGOV",
ROUND(OFFSET($P63,0,AD$13),15-13*ORÇAMENTO!$AF$7)/$H63*OFFSET(ORÇAMENTO!$X$15,ROW(AD63)-ROW(AD$15),0),
ROUND(ROUND(OFFSET($P63,0,AD$13),15-13*ORÇAMENTO!$AF$7)*OFFSET(ORÇAMENTO!$W$15,ROW(AD63)-ROW(AD$15),0),15-13*ORÇAMENTO!$AF$11)),0)</f>
        <v>0</v>
      </c>
      <c r="AE63" s="545">
        <f ca="1">IF(AND($D63="Serviço",AE$12&lt;&gt;0,$H63&gt;0,OR(AUTOEVENTO&lt;&gt;"manual",$M63&lt;&gt;1)),
IF(Import.TipoArredondamento&lt;&gt;"TransfereGOV",
ROUND(OFFSET($P63,0,AE$13),15-13*ORÇAMENTO!$AF$7)/$H63*OFFSET(ORÇAMENTO!$X$15,ROW(AE63)-ROW(AE$15),0),
ROUND(ROUND(OFFSET($P63,0,AE$13),15-13*ORÇAMENTO!$AF$7)*OFFSET(ORÇAMENTO!$W$15,ROW(AE63)-ROW(AE$15),0),15-13*ORÇAMENTO!$AF$11)),0)</f>
        <v>0</v>
      </c>
      <c r="AF63" s="545">
        <f ca="1">IF(AND($D63="Serviço",AF$12&lt;&gt;0,$H63&gt;0,OR(AUTOEVENTO&lt;&gt;"manual",$M63&lt;&gt;1)),
IF(Import.TipoArredondamento&lt;&gt;"TransfereGOV",
ROUND(OFFSET($P63,0,AF$13),15-13*ORÇAMENTO!$AF$7)/$H63*OFFSET(ORÇAMENTO!$X$15,ROW(AF63)-ROW(AF$15),0),
ROUND(ROUND(OFFSET($P63,0,AF$13),15-13*ORÇAMENTO!$AF$7)*OFFSET(ORÇAMENTO!$W$15,ROW(AF63)-ROW(AF$15),0),15-13*ORÇAMENTO!$AF$11)),0)</f>
        <v>0</v>
      </c>
      <c r="AG63" s="545">
        <f ca="1">IF(AND($D63="Serviço",AG$12&lt;&gt;0,$H63&gt;0,OR(AUTOEVENTO&lt;&gt;"manual",$M63&lt;&gt;1)),
IF(Import.TipoArredondamento&lt;&gt;"TransfereGOV",
ROUND(OFFSET($P63,0,AG$13),15-13*ORÇAMENTO!$AF$7)/$H63*OFFSET(ORÇAMENTO!$X$15,ROW(AG63)-ROW(AG$15),0),
ROUND(ROUND(OFFSET($P63,0,AG$13),15-13*ORÇAMENTO!$AF$7)*OFFSET(ORÇAMENTO!$W$15,ROW(AG63)-ROW(AG$15),0),15-13*ORÇAMENTO!$AF$11)),0)</f>
        <v>0</v>
      </c>
      <c r="AH63" s="545">
        <f ca="1">IF(AND($D63="Serviço",AH$12&lt;&gt;0,$H63&gt;0,OR(AUTOEVENTO&lt;&gt;"manual",$M63&lt;&gt;1)),
IF(Import.TipoArredondamento&lt;&gt;"TransfereGOV",
ROUND(OFFSET($P63,0,AH$13),15-13*ORÇAMENTO!$AF$7)/$H63*OFFSET(ORÇAMENTO!$X$15,ROW(AH63)-ROW(AH$15),0),
ROUND(ROUND(OFFSET($P63,0,AH$13),15-13*ORÇAMENTO!$AF$7)*OFFSET(ORÇAMENTO!$W$15,ROW(AH63)-ROW(AH$15),0),15-13*ORÇAMENTO!$AF$11)),0)</f>
        <v>0</v>
      </c>
      <c r="AI63" s="545">
        <f ca="1">IF(AND($D63="Serviço",AI$12&lt;&gt;0,$H63&gt;0,OR(AUTOEVENTO&lt;&gt;"manual",$M63&lt;&gt;1)),
IF(Import.TipoArredondamento&lt;&gt;"TransfereGOV",
ROUND(OFFSET($P63,0,AI$13),15-13*ORÇAMENTO!$AF$7)/$H63*OFFSET(ORÇAMENTO!$X$15,ROW(AI63)-ROW(AI$15),0),
ROUND(ROUND(OFFSET($P63,0,AI$13),15-13*ORÇAMENTO!$AF$7)*OFFSET(ORÇAMENTO!$W$15,ROW(AI63)-ROW(AI$15),0),15-13*ORÇAMENTO!$AF$11)),0)</f>
        <v>0</v>
      </c>
      <c r="AJ63" s="545">
        <f ca="1">IF(AND($D63="Serviço",AJ$12&lt;&gt;0,$H63&gt;0,OR(AUTOEVENTO&lt;&gt;"manual",$M63&lt;&gt;1)),
IF(Import.TipoArredondamento&lt;&gt;"TransfereGOV",
ROUND(OFFSET($P63,0,AJ$13),15-13*ORÇAMENTO!$AF$7)/$H63*OFFSET(ORÇAMENTO!$X$15,ROW(AJ63)-ROW(AJ$15),0),
ROUND(ROUND(OFFSET($P63,0,AJ$13),15-13*ORÇAMENTO!$AF$7)*OFFSET(ORÇAMENTO!$W$15,ROW(AJ63)-ROW(AJ$15),0),15-13*ORÇAMENTO!$AF$11)),0)</f>
        <v>0</v>
      </c>
      <c r="AK63" s="546">
        <f ca="1">IF(AND($D63="Serviço",AK$12&lt;&gt;0,$H63&gt;0,OR(AUTOEVENTO&lt;&gt;"manual",$M63&lt;&gt;1)),
IF(Import.TipoArredondamento&lt;&gt;"TransfereGOV",
ROUND(OFFSET($P63,0,AK$13),15-13*ORÇAMENTO!$AF$7)/$H63*OFFSET(ORÇAMENTO!$X$15,ROW(AK63)-ROW(AK$15),0),
ROUND(ROUND(OFFSET($P63,0,AK$13),15-13*ORÇAMENTO!$AF$7)*OFFSET(ORÇAMENTO!$W$15,ROW(AK63)-ROW(AK$15),0),15-13*ORÇAMENTO!$AF$11)),0)</f>
        <v>0</v>
      </c>
      <c r="AM63" s="181">
        <f ca="1">IF($D63&lt;&gt;"Serviço",0,IF(AND(AUTOEVENTO="Manual",$M63=1),0,IF(OFFSET(CRONOPLE!$F$14,$M63,AM$13)="",10^12,OFFSET(CRONOPLE!$F$14,$M63,AM$13))))</f>
        <v>1000000000000</v>
      </c>
      <c r="AN63" s="181">
        <f ca="1">IF($D63&lt;&gt;"Serviço",0,IF(AND(AUTOEVENTO="Manual",$M63=1),0,IF(OFFSET(CRONOPLE!$F$14,$M63,AN$13)="",10^12,OFFSET(CRONOPLE!$F$14,$M63,AN$13))))</f>
        <v>1000000000000</v>
      </c>
      <c r="AO63" s="181">
        <f ca="1">IF($D63&lt;&gt;"Serviço",0,IF(AND(AUTOEVENTO="Manual",$M63=1),0,IF(OFFSET(CRONOPLE!$F$14,$M63,AO$13)="",10^12,OFFSET(CRONOPLE!$F$14,$M63,AO$13))))</f>
        <v>1000000000000</v>
      </c>
      <c r="AP63" s="181">
        <f ca="1">IF($D63&lt;&gt;"Serviço",0,IF(AND(AUTOEVENTO="Manual",$M63=1),0,IF(OFFSET(CRONOPLE!$F$14,$M63,AP$13)="",10^12,OFFSET(CRONOPLE!$F$14,$M63,AP$13))))</f>
        <v>1000000000000</v>
      </c>
      <c r="AQ63" s="181">
        <f ca="1">IF($D63&lt;&gt;"Serviço",0,IF(AND(AUTOEVENTO="Manual",$M63=1),0,IF(OFFSET(CRONOPLE!$F$14,$M63,AQ$13)="",10^12,OFFSET(CRONOPLE!$F$14,$M63,AQ$13))))</f>
        <v>1000000000000</v>
      </c>
      <c r="AR63" s="181">
        <f ca="1">IF($D63&lt;&gt;"Serviço",0,IF(AND(AUTOEVENTO="Manual",$M63=1),0,IF(OFFSET(CRONOPLE!$F$14,$M63,AR$13)="",10^12,OFFSET(CRONOPLE!$F$14,$M63,AR$13))))</f>
        <v>1000000000000</v>
      </c>
      <c r="AS63" s="181">
        <f ca="1">IF($D63&lt;&gt;"Serviço",0,IF(AND(AUTOEVENTO="Manual",$M63=1),0,IF(OFFSET(CRONOPLE!$F$14,$M63,AS$13)="",10^12,OFFSET(CRONOPLE!$F$14,$M63,AS$13))))</f>
        <v>1000000000000</v>
      </c>
      <c r="AT63" s="181">
        <f ca="1">IF($D63&lt;&gt;"Serviço",0,IF(AND(AUTOEVENTO="Manual",$M63=1),0,IF(OFFSET(CRONOPLE!$F$14,$M63,AT$13)="",10^12,OFFSET(CRONOPLE!$F$14,$M63,AT$13))))</f>
        <v>1000000000000</v>
      </c>
      <c r="AU63" s="181">
        <f ca="1">IF($D63&lt;&gt;"Serviço",0,IF(AND(AUTOEVENTO="Manual",$M63=1),0,IF(OFFSET(CRONOPLE!$F$14,$M63,AU$13)="",10^12,OFFSET(CRONOPLE!$F$14,$M63,AU$13))))</f>
        <v>1000000000000</v>
      </c>
      <c r="AV63" s="181">
        <f ca="1">IF($D63&lt;&gt;"Serviço",0,IF(AND(AUTOEVENTO="Manual",$M63=1),0,IF(OFFSET(CRONOPLE!$F$14,$M63,AV$13)="",10^12,OFFSET(CRONOPLE!$F$14,$M63,AV$13))))</f>
        <v>1000000000000</v>
      </c>
      <c r="AX63" s="182">
        <f ca="1">IF($D63&lt;&gt;"Serviço",0,IF(OR(AND(AUTOEVENTO="Manual",$M63=1),$M63&gt;(ROW(PLE.lastrow)-ROW(PLE.firstrow))),0,IF(OFFSET(PLE!$G$14,$M63,AX$13)="",10^12,OFFSET(PLE!$G$14,$M63,AX$13))))</f>
        <v>1000000000000</v>
      </c>
      <c r="AY63" s="182">
        <f ca="1">IF($D63&lt;&gt;"Serviço",0,IF(OR(AND(AUTOEVENTO="Manual",$M63=1),$M63&gt;(ROW(PLE.lastrow)-ROW(PLE.firstrow))),0,IF(OFFSET(PLE!$G$14,$M63,AY$13)="",10^12,OFFSET(PLE!$G$14,$M63,AY$13))))</f>
        <v>1000000000000</v>
      </c>
      <c r="AZ63" s="182">
        <f ca="1">IF($D63&lt;&gt;"Serviço",0,IF(OR(AND(AUTOEVENTO="Manual",$M63=1),$M63&gt;(ROW(PLE.lastrow)-ROW(PLE.firstrow))),0,IF(OFFSET(PLE!$G$14,$M63,AZ$13)="",10^12,OFFSET(PLE!$G$14,$M63,AZ$13))))</f>
        <v>1000000000000</v>
      </c>
      <c r="BA63" s="182">
        <f ca="1">IF($D63&lt;&gt;"Serviço",0,IF(OR(AND(AUTOEVENTO="Manual",$M63=1),$M63&gt;(ROW(PLE.lastrow)-ROW(PLE.firstrow))),0,IF(OFFSET(PLE!$G$14,$M63,BA$13)="",10^12,OFFSET(PLE!$G$14,$M63,BA$13))))</f>
        <v>1000000000000</v>
      </c>
      <c r="BB63" s="182">
        <f ca="1">IF($D63&lt;&gt;"Serviço",0,IF(OR(AND(AUTOEVENTO="Manual",$M63=1),$M63&gt;(ROW(PLE.lastrow)-ROW(PLE.firstrow))),0,IF(OFFSET(PLE!$G$14,$M63,BB$13)="",10^12,OFFSET(PLE!$G$14,$M63,BB$13))))</f>
        <v>1000000000000</v>
      </c>
      <c r="BC63" s="182">
        <f ca="1">IF($D63&lt;&gt;"Serviço",0,IF(OR(AND(AUTOEVENTO="Manual",$M63=1),$M63&gt;(ROW(PLE.lastrow)-ROW(PLE.firstrow))),0,IF(OFFSET(PLE!$G$14,$M63,BC$13)="",10^12,OFFSET(PLE!$G$14,$M63,BC$13))))</f>
        <v>1000000000000</v>
      </c>
      <c r="BD63" s="182">
        <f ca="1">IF($D63&lt;&gt;"Serviço",0,IF(OR(AND(AUTOEVENTO="Manual",$M63=1),$M63&gt;(ROW(PLE.lastrow)-ROW(PLE.firstrow))),0,IF(OFFSET(PLE!$G$14,$M63,BD$13)="",10^12,OFFSET(PLE!$G$14,$M63,BD$13))))</f>
        <v>1000000000000</v>
      </c>
      <c r="BE63" s="182">
        <f ca="1">IF($D63&lt;&gt;"Serviço",0,IF(OR(AND(AUTOEVENTO="Manual",$M63=1),$M63&gt;(ROW(PLE.lastrow)-ROW(PLE.firstrow))),0,IF(OFFSET(PLE!$G$14,$M63,BE$13)="",10^12,OFFSET(PLE!$G$14,$M63,BE$13))))</f>
        <v>1000000000000</v>
      </c>
      <c r="BF63" s="182">
        <f ca="1">IF($D63&lt;&gt;"Serviço",0,IF(OR(AND(AUTOEVENTO="Manual",$M63=1),$M63&gt;(ROW(PLE.lastrow)-ROW(PLE.firstrow))),0,IF(OFFSET(PLE!$G$14,$M63,BF$13)="",10^12,OFFSET(PLE!$G$14,$M63,BF$13))))</f>
        <v>1000000000000</v>
      </c>
      <c r="BG63" s="182">
        <f ca="1">IF($D63&lt;&gt;"Serviço",0,IF(OR(AND(AUTOEVENTO="Manual",$M63=1),$M63&gt;(ROW(PLE.lastrow)-ROW(PLE.firstrow))),0,IF(OFFSET(PLE!$G$14,$M63,BG$13)="",10^12,OFFSET(PLE!$G$14,$M63,BG$13))))</f>
        <v>1000000000000</v>
      </c>
    </row>
    <row r="64" spans="1:59" ht="38.25" x14ac:dyDescent="0.2">
      <c r="A64" s="7" t="str">
        <f ca="1">IF(AUTOEVENTO="Manual",IF(K64&lt;&gt;"",MIN(VALUE(LEFT(K64,FIND(".",K64)-1)),COUNTA(EVENTOS.Lista)),0),IF(OR($B64&gt;AUTOEVENTO,$B64="S",$B64=0),SUBSTITUTE(OFFSET($A64,-1,0),IF($D64="Serviço",".",""),""),ROW(A64)-ROW($A$15)&amp;"."))</f>
        <v>47</v>
      </c>
      <c r="B64" s="7" t="str">
        <f ca="1">OFFSET(ORÇAMENTO!C$15,ROW(B64)-ROW(B$15),0)</f>
        <v>S</v>
      </c>
      <c r="C64" s="7" t="str">
        <f ca="1">OFFSET(ORÇAMENTO!L$15,ROW(C64)-ROW(C$15),0)</f>
        <v>F</v>
      </c>
      <c r="D64" s="118" t="str">
        <f ca="1">OFFSET(ORÇAMENTO!N$15,ROW(D64)-ROW(D$15),0)</f>
        <v>Serviço</v>
      </c>
      <c r="E64" s="119" t="str">
        <f ca="1">OFFSET(ORÇAMENTO!O$15,ROW(E64)-ROW(E$15),0)</f>
        <v>4.3.2.</v>
      </c>
      <c r="F64" s="172" t="str">
        <f ca="1">OFFSET(ORÇAMENTO!R$15,ROW(F64)-ROW(F$15),0)</f>
        <v>PORTA EM ALUMÍNIO DE ABRIR TIPO VENEZIANA COM GUARNIÇÃO, FIXAÇÃO COM PARAFUSOS - FORNECIMENTO E INSTALAÇÃO. AF_10/2025</v>
      </c>
      <c r="G64" s="173" t="str">
        <f ca="1">IF($D64&lt;&gt;"Serviço","",OFFSET(ORÇAMENTO!S$15,ROW(G64)-ROW(G$15),0))</f>
        <v>M2</v>
      </c>
      <c r="H64" s="124">
        <f ca="1">IF($D64&lt;&gt;"Serviço",0,IF(ACOMPANHAMENTO="BM",ROUND(OFFSET(ORÇAMENTO!AJ$15,ROW(H64)-ROW(H$15),0),15-13*ORÇAMENTO!$AF$7),SUMPRODUCT(($Q$12:$AA$12&lt;&gt;"")*ROUND($Q64:$AA64,15-13*ORÇAMENTO!$AF$7))))</f>
        <v>6.3</v>
      </c>
      <c r="I64" s="561"/>
      <c r="K64" s="174"/>
      <c r="L64" s="175" t="s">
        <v>255</v>
      </c>
      <c r="M64" s="176">
        <f ca="1">IF($D64&lt;&gt;"Serviço","",IF(AUTOEVENTO="manual",$A64,IF(ISERROR(MATCH($A64,$A$15:OFFSET($A64,-1,0),0)),MAX($M$15:OFFSET(M64,-1,0))+1,INDEX($M$15:OFFSET(M64,-1,0),MATCH($A64,$A$15:OFFSET($A64,-1,0),0)))))</f>
        <v>10</v>
      </c>
      <c r="N64" s="177" t="str">
        <f ca="1">IF($D64&lt;&gt;"Serviço","",IF(AUTOEVENTO="Manual",IF($A64=0,"&lt;-- defina o número do agrupador",OFFSET(EVENTOS!$D$14,$A64,0)),OFFSET($F$15,$A64,0)))</f>
        <v xml:space="preserve">ESQUADRIAS </v>
      </c>
      <c r="O64" s="178"/>
      <c r="Q64" s="178"/>
      <c r="R64" s="179"/>
      <c r="S64" s="179"/>
      <c r="T64" s="179"/>
      <c r="U64" s="179"/>
      <c r="V64" s="179"/>
      <c r="W64" s="179"/>
      <c r="X64" s="179"/>
      <c r="Y64" s="179"/>
      <c r="Z64" s="180"/>
      <c r="AB64" s="544">
        <f ca="1">IF(AND($D64="Serviço",AB$12&lt;&gt;0,$H64&gt;0,OR(AUTOEVENTO&lt;&gt;"manual",$M64&lt;&gt;1)),
IF(Import.TipoArredondamento&lt;&gt;"TransfereGOV",
ROUND(OFFSET($P64,0,AB$13),15-13*ORÇAMENTO!$AF$7)/$H64*OFFSET(ORÇAMENTO!$X$15,ROW(AB64)-ROW(AB$15),0),
ROUND(ROUND(OFFSET($P64,0,AB$13),15-13*ORÇAMENTO!$AF$7)*OFFSET(ORÇAMENTO!$W$15,ROW(AB64)-ROW(AB$15),0),15-13*ORÇAMENTO!$AF$11)),0)</f>
        <v>0</v>
      </c>
      <c r="AC64" s="545">
        <f ca="1">IF(AND($D64="Serviço",AC$12&lt;&gt;0,$H64&gt;0,OR(AUTOEVENTO&lt;&gt;"manual",$M64&lt;&gt;1)),
IF(Import.TipoArredondamento&lt;&gt;"TransfereGOV",
ROUND(OFFSET($P64,0,AC$13),15-13*ORÇAMENTO!$AF$7)/$H64*OFFSET(ORÇAMENTO!$X$15,ROW(AC64)-ROW(AC$15),0),
ROUND(ROUND(OFFSET($P64,0,AC$13),15-13*ORÇAMENTO!$AF$7)*OFFSET(ORÇAMENTO!$W$15,ROW(AC64)-ROW(AC$15),0),15-13*ORÇAMENTO!$AF$11)),0)</f>
        <v>0</v>
      </c>
      <c r="AD64" s="545">
        <f ca="1">IF(AND($D64="Serviço",AD$12&lt;&gt;0,$H64&gt;0,OR(AUTOEVENTO&lt;&gt;"manual",$M64&lt;&gt;1)),
IF(Import.TipoArredondamento&lt;&gt;"TransfereGOV",
ROUND(OFFSET($P64,0,AD$13),15-13*ORÇAMENTO!$AF$7)/$H64*OFFSET(ORÇAMENTO!$X$15,ROW(AD64)-ROW(AD$15),0),
ROUND(ROUND(OFFSET($P64,0,AD$13),15-13*ORÇAMENTO!$AF$7)*OFFSET(ORÇAMENTO!$W$15,ROW(AD64)-ROW(AD$15),0),15-13*ORÇAMENTO!$AF$11)),0)</f>
        <v>0</v>
      </c>
      <c r="AE64" s="545">
        <f ca="1">IF(AND($D64="Serviço",AE$12&lt;&gt;0,$H64&gt;0,OR(AUTOEVENTO&lt;&gt;"manual",$M64&lt;&gt;1)),
IF(Import.TipoArredondamento&lt;&gt;"TransfereGOV",
ROUND(OFFSET($P64,0,AE$13),15-13*ORÇAMENTO!$AF$7)/$H64*OFFSET(ORÇAMENTO!$X$15,ROW(AE64)-ROW(AE$15),0),
ROUND(ROUND(OFFSET($P64,0,AE$13),15-13*ORÇAMENTO!$AF$7)*OFFSET(ORÇAMENTO!$W$15,ROW(AE64)-ROW(AE$15),0),15-13*ORÇAMENTO!$AF$11)),0)</f>
        <v>0</v>
      </c>
      <c r="AF64" s="545">
        <f ca="1">IF(AND($D64="Serviço",AF$12&lt;&gt;0,$H64&gt;0,OR(AUTOEVENTO&lt;&gt;"manual",$M64&lt;&gt;1)),
IF(Import.TipoArredondamento&lt;&gt;"TransfereGOV",
ROUND(OFFSET($P64,0,AF$13),15-13*ORÇAMENTO!$AF$7)/$H64*OFFSET(ORÇAMENTO!$X$15,ROW(AF64)-ROW(AF$15),0),
ROUND(ROUND(OFFSET($P64,0,AF$13),15-13*ORÇAMENTO!$AF$7)*OFFSET(ORÇAMENTO!$W$15,ROW(AF64)-ROW(AF$15),0),15-13*ORÇAMENTO!$AF$11)),0)</f>
        <v>0</v>
      </c>
      <c r="AG64" s="545">
        <f ca="1">IF(AND($D64="Serviço",AG$12&lt;&gt;0,$H64&gt;0,OR(AUTOEVENTO&lt;&gt;"manual",$M64&lt;&gt;1)),
IF(Import.TipoArredondamento&lt;&gt;"TransfereGOV",
ROUND(OFFSET($P64,0,AG$13),15-13*ORÇAMENTO!$AF$7)/$H64*OFFSET(ORÇAMENTO!$X$15,ROW(AG64)-ROW(AG$15),0),
ROUND(ROUND(OFFSET($P64,0,AG$13),15-13*ORÇAMENTO!$AF$7)*OFFSET(ORÇAMENTO!$W$15,ROW(AG64)-ROW(AG$15),0),15-13*ORÇAMENTO!$AF$11)),0)</f>
        <v>0</v>
      </c>
      <c r="AH64" s="545">
        <f ca="1">IF(AND($D64="Serviço",AH$12&lt;&gt;0,$H64&gt;0,OR(AUTOEVENTO&lt;&gt;"manual",$M64&lt;&gt;1)),
IF(Import.TipoArredondamento&lt;&gt;"TransfereGOV",
ROUND(OFFSET($P64,0,AH$13),15-13*ORÇAMENTO!$AF$7)/$H64*OFFSET(ORÇAMENTO!$X$15,ROW(AH64)-ROW(AH$15),0),
ROUND(ROUND(OFFSET($P64,0,AH$13),15-13*ORÇAMENTO!$AF$7)*OFFSET(ORÇAMENTO!$W$15,ROW(AH64)-ROW(AH$15),0),15-13*ORÇAMENTO!$AF$11)),0)</f>
        <v>0</v>
      </c>
      <c r="AI64" s="545">
        <f ca="1">IF(AND($D64="Serviço",AI$12&lt;&gt;0,$H64&gt;0,OR(AUTOEVENTO&lt;&gt;"manual",$M64&lt;&gt;1)),
IF(Import.TipoArredondamento&lt;&gt;"TransfereGOV",
ROUND(OFFSET($P64,0,AI$13),15-13*ORÇAMENTO!$AF$7)/$H64*OFFSET(ORÇAMENTO!$X$15,ROW(AI64)-ROW(AI$15),0),
ROUND(ROUND(OFFSET($P64,0,AI$13),15-13*ORÇAMENTO!$AF$7)*OFFSET(ORÇAMENTO!$W$15,ROW(AI64)-ROW(AI$15),0),15-13*ORÇAMENTO!$AF$11)),0)</f>
        <v>0</v>
      </c>
      <c r="AJ64" s="545">
        <f ca="1">IF(AND($D64="Serviço",AJ$12&lt;&gt;0,$H64&gt;0,OR(AUTOEVENTO&lt;&gt;"manual",$M64&lt;&gt;1)),
IF(Import.TipoArredondamento&lt;&gt;"TransfereGOV",
ROUND(OFFSET($P64,0,AJ$13),15-13*ORÇAMENTO!$AF$7)/$H64*OFFSET(ORÇAMENTO!$X$15,ROW(AJ64)-ROW(AJ$15),0),
ROUND(ROUND(OFFSET($P64,0,AJ$13),15-13*ORÇAMENTO!$AF$7)*OFFSET(ORÇAMENTO!$W$15,ROW(AJ64)-ROW(AJ$15),0),15-13*ORÇAMENTO!$AF$11)),0)</f>
        <v>0</v>
      </c>
      <c r="AK64" s="546">
        <f ca="1">IF(AND($D64="Serviço",AK$12&lt;&gt;0,$H64&gt;0,OR(AUTOEVENTO&lt;&gt;"manual",$M64&lt;&gt;1)),
IF(Import.TipoArredondamento&lt;&gt;"TransfereGOV",
ROUND(OFFSET($P64,0,AK$13),15-13*ORÇAMENTO!$AF$7)/$H64*OFFSET(ORÇAMENTO!$X$15,ROW(AK64)-ROW(AK$15),0),
ROUND(ROUND(OFFSET($P64,0,AK$13),15-13*ORÇAMENTO!$AF$7)*OFFSET(ORÇAMENTO!$W$15,ROW(AK64)-ROW(AK$15),0),15-13*ORÇAMENTO!$AF$11)),0)</f>
        <v>0</v>
      </c>
      <c r="AM64" s="181">
        <f ca="1">IF($D64&lt;&gt;"Serviço",0,IF(AND(AUTOEVENTO="Manual",$M64=1),0,IF(OFFSET(CRONOPLE!$F$14,$M64,AM$13)="",10^12,OFFSET(CRONOPLE!$F$14,$M64,AM$13))))</f>
        <v>1000000000000</v>
      </c>
      <c r="AN64" s="181">
        <f ca="1">IF($D64&lt;&gt;"Serviço",0,IF(AND(AUTOEVENTO="Manual",$M64=1),0,IF(OFFSET(CRONOPLE!$F$14,$M64,AN$13)="",10^12,OFFSET(CRONOPLE!$F$14,$M64,AN$13))))</f>
        <v>1000000000000</v>
      </c>
      <c r="AO64" s="181">
        <f ca="1">IF($D64&lt;&gt;"Serviço",0,IF(AND(AUTOEVENTO="Manual",$M64=1),0,IF(OFFSET(CRONOPLE!$F$14,$M64,AO$13)="",10^12,OFFSET(CRONOPLE!$F$14,$M64,AO$13))))</f>
        <v>1000000000000</v>
      </c>
      <c r="AP64" s="181">
        <f ca="1">IF($D64&lt;&gt;"Serviço",0,IF(AND(AUTOEVENTO="Manual",$M64=1),0,IF(OFFSET(CRONOPLE!$F$14,$M64,AP$13)="",10^12,OFFSET(CRONOPLE!$F$14,$M64,AP$13))))</f>
        <v>1000000000000</v>
      </c>
      <c r="AQ64" s="181">
        <f ca="1">IF($D64&lt;&gt;"Serviço",0,IF(AND(AUTOEVENTO="Manual",$M64=1),0,IF(OFFSET(CRONOPLE!$F$14,$M64,AQ$13)="",10^12,OFFSET(CRONOPLE!$F$14,$M64,AQ$13))))</f>
        <v>1000000000000</v>
      </c>
      <c r="AR64" s="181">
        <f ca="1">IF($D64&lt;&gt;"Serviço",0,IF(AND(AUTOEVENTO="Manual",$M64=1),0,IF(OFFSET(CRONOPLE!$F$14,$M64,AR$13)="",10^12,OFFSET(CRONOPLE!$F$14,$M64,AR$13))))</f>
        <v>1000000000000</v>
      </c>
      <c r="AS64" s="181">
        <f ca="1">IF($D64&lt;&gt;"Serviço",0,IF(AND(AUTOEVENTO="Manual",$M64=1),0,IF(OFFSET(CRONOPLE!$F$14,$M64,AS$13)="",10^12,OFFSET(CRONOPLE!$F$14,$M64,AS$13))))</f>
        <v>1000000000000</v>
      </c>
      <c r="AT64" s="181">
        <f ca="1">IF($D64&lt;&gt;"Serviço",0,IF(AND(AUTOEVENTO="Manual",$M64=1),0,IF(OFFSET(CRONOPLE!$F$14,$M64,AT$13)="",10^12,OFFSET(CRONOPLE!$F$14,$M64,AT$13))))</f>
        <v>1000000000000</v>
      </c>
      <c r="AU64" s="181">
        <f ca="1">IF($D64&lt;&gt;"Serviço",0,IF(AND(AUTOEVENTO="Manual",$M64=1),0,IF(OFFSET(CRONOPLE!$F$14,$M64,AU$13)="",10^12,OFFSET(CRONOPLE!$F$14,$M64,AU$13))))</f>
        <v>1000000000000</v>
      </c>
      <c r="AV64" s="181">
        <f ca="1">IF($D64&lt;&gt;"Serviço",0,IF(AND(AUTOEVENTO="Manual",$M64=1),0,IF(OFFSET(CRONOPLE!$F$14,$M64,AV$13)="",10^12,OFFSET(CRONOPLE!$F$14,$M64,AV$13))))</f>
        <v>1000000000000</v>
      </c>
      <c r="AX64" s="182">
        <f ca="1">IF($D64&lt;&gt;"Serviço",0,IF(OR(AND(AUTOEVENTO="Manual",$M64=1),$M64&gt;(ROW(PLE.lastrow)-ROW(PLE.firstrow))),0,IF(OFFSET(PLE!$G$14,$M64,AX$13)="",10^12,OFFSET(PLE!$G$14,$M64,AX$13))))</f>
        <v>1000000000000</v>
      </c>
      <c r="AY64" s="182">
        <f ca="1">IF($D64&lt;&gt;"Serviço",0,IF(OR(AND(AUTOEVENTO="Manual",$M64=1),$M64&gt;(ROW(PLE.lastrow)-ROW(PLE.firstrow))),0,IF(OFFSET(PLE!$G$14,$M64,AY$13)="",10^12,OFFSET(PLE!$G$14,$M64,AY$13))))</f>
        <v>1000000000000</v>
      </c>
      <c r="AZ64" s="182">
        <f ca="1">IF($D64&lt;&gt;"Serviço",0,IF(OR(AND(AUTOEVENTO="Manual",$M64=1),$M64&gt;(ROW(PLE.lastrow)-ROW(PLE.firstrow))),0,IF(OFFSET(PLE!$G$14,$M64,AZ$13)="",10^12,OFFSET(PLE!$G$14,$M64,AZ$13))))</f>
        <v>1000000000000</v>
      </c>
      <c r="BA64" s="182">
        <f ca="1">IF($D64&lt;&gt;"Serviço",0,IF(OR(AND(AUTOEVENTO="Manual",$M64=1),$M64&gt;(ROW(PLE.lastrow)-ROW(PLE.firstrow))),0,IF(OFFSET(PLE!$G$14,$M64,BA$13)="",10^12,OFFSET(PLE!$G$14,$M64,BA$13))))</f>
        <v>1000000000000</v>
      </c>
      <c r="BB64" s="182">
        <f ca="1">IF($D64&lt;&gt;"Serviço",0,IF(OR(AND(AUTOEVENTO="Manual",$M64=1),$M64&gt;(ROW(PLE.lastrow)-ROW(PLE.firstrow))),0,IF(OFFSET(PLE!$G$14,$M64,BB$13)="",10^12,OFFSET(PLE!$G$14,$M64,BB$13))))</f>
        <v>1000000000000</v>
      </c>
      <c r="BC64" s="182">
        <f ca="1">IF($D64&lt;&gt;"Serviço",0,IF(OR(AND(AUTOEVENTO="Manual",$M64=1),$M64&gt;(ROW(PLE.lastrow)-ROW(PLE.firstrow))),0,IF(OFFSET(PLE!$G$14,$M64,BC$13)="",10^12,OFFSET(PLE!$G$14,$M64,BC$13))))</f>
        <v>1000000000000</v>
      </c>
      <c r="BD64" s="182">
        <f ca="1">IF($D64&lt;&gt;"Serviço",0,IF(OR(AND(AUTOEVENTO="Manual",$M64=1),$M64&gt;(ROW(PLE.lastrow)-ROW(PLE.firstrow))),0,IF(OFFSET(PLE!$G$14,$M64,BD$13)="",10^12,OFFSET(PLE!$G$14,$M64,BD$13))))</f>
        <v>1000000000000</v>
      </c>
      <c r="BE64" s="182">
        <f ca="1">IF($D64&lt;&gt;"Serviço",0,IF(OR(AND(AUTOEVENTO="Manual",$M64=1),$M64&gt;(ROW(PLE.lastrow)-ROW(PLE.firstrow))),0,IF(OFFSET(PLE!$G$14,$M64,BE$13)="",10^12,OFFSET(PLE!$G$14,$M64,BE$13))))</f>
        <v>1000000000000</v>
      </c>
      <c r="BF64" s="182">
        <f ca="1">IF($D64&lt;&gt;"Serviço",0,IF(OR(AND(AUTOEVENTO="Manual",$M64=1),$M64&gt;(ROW(PLE.lastrow)-ROW(PLE.firstrow))),0,IF(OFFSET(PLE!$G$14,$M64,BF$13)="",10^12,OFFSET(PLE!$G$14,$M64,BF$13))))</f>
        <v>1000000000000</v>
      </c>
      <c r="BG64" s="182">
        <f ca="1">IF($D64&lt;&gt;"Serviço",0,IF(OR(AND(AUTOEVENTO="Manual",$M64=1),$M64&gt;(ROW(PLE.lastrow)-ROW(PLE.firstrow))),0,IF(OFFSET(PLE!$G$14,$M64,BG$13)="",10^12,OFFSET(PLE!$G$14,$M64,BG$13))))</f>
        <v>1000000000000</v>
      </c>
    </row>
    <row r="65" spans="1:59" ht="76.5" x14ac:dyDescent="0.2">
      <c r="A65" s="7" t="str">
        <f t="shared" ca="1" si="10"/>
        <v>47</v>
      </c>
      <c r="B65" s="7" t="str">
        <f ca="1">OFFSET(ORÇAMENTO!C$15,ROW(B65)-ROW(B$15),0)</f>
        <v>S</v>
      </c>
      <c r="C65" s="7" t="str">
        <f ca="1">OFFSET(ORÇAMENTO!L$15,ROW(C65)-ROW(C$15),0)</f>
        <v>F</v>
      </c>
      <c r="D65" s="118" t="str">
        <f ca="1">OFFSET(ORÇAMENTO!N$15,ROW(D65)-ROW(D$15),0)</f>
        <v>Serviço</v>
      </c>
      <c r="E65" s="119" t="str">
        <f ca="1">OFFSET(ORÇAMENTO!O$15,ROW(E65)-ROW(E$15),0)</f>
        <v>4.3.3.</v>
      </c>
      <c r="F65" s="172" t="str">
        <f ca="1">OFFSET(ORÇAMENTO!R$15,ROW(F65)-ROW(F$15),0)</f>
        <v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v>
      </c>
      <c r="G65" s="173" t="str">
        <f ca="1">IF($D65&lt;&gt;"Serviço","",OFFSET(ORÇAMENTO!S$15,ROW(G65)-ROW(G$15),0))</f>
        <v>M2</v>
      </c>
      <c r="H65" s="124">
        <f ca="1">IF($D65&lt;&gt;"Serviço",0,IF(ACOMPANHAMENTO="BM",ROUND(OFFSET(ORÇAMENTO!AJ$15,ROW(H65)-ROW(H$15),0),15-13*ORÇAMENTO!$AF$7),SUMPRODUCT(($Q$12:$AA$12&lt;&gt;"")*ROUND($Q65:$AA65,15-13*ORÇAMENTO!$AF$7))))</f>
        <v>6.48</v>
      </c>
      <c r="I65" s="561"/>
      <c r="K65" s="174"/>
      <c r="L65" s="175" t="s">
        <v>255</v>
      </c>
      <c r="M65" s="176">
        <f ca="1">IF($D65&lt;&gt;"Serviço","",IF(AUTOEVENTO="manual",$A65,IF(ISERROR(MATCH($A65,$A$15:OFFSET($A65,-1,0),0)),MAX($M$15:OFFSET(M65,-1,0))+1,INDEX($M$15:OFFSET(M65,-1,0),MATCH($A65,$A$15:OFFSET($A65,-1,0),0)))))</f>
        <v>10</v>
      </c>
      <c r="N65" s="177" t="str">
        <f ca="1">IF($D65&lt;&gt;"Serviço","",IF(AUTOEVENTO="Manual",IF($A65=0,"&lt;-- defina o número do agrupador",OFFSET(EVENTOS!$D$14,$A65,0)),OFFSET($F$15,$A65,0)))</f>
        <v xml:space="preserve">ESQUADRIAS </v>
      </c>
      <c r="O65" s="178"/>
      <c r="Q65" s="178"/>
      <c r="R65" s="179"/>
      <c r="S65" s="179"/>
      <c r="T65" s="179"/>
      <c r="U65" s="179"/>
      <c r="V65" s="179"/>
      <c r="W65" s="179"/>
      <c r="X65" s="179"/>
      <c r="Y65" s="179"/>
      <c r="Z65" s="180"/>
      <c r="AB65" s="544">
        <f ca="1">IF(AND($D65="Serviço",AB$12&lt;&gt;0,$H65&gt;0,OR(AUTOEVENTO&lt;&gt;"manual",$M65&lt;&gt;1)),
IF(Import.TipoArredondamento&lt;&gt;"TransfereGOV",
ROUND(OFFSET($P65,0,AB$13),15-13*ORÇAMENTO!$AF$7)/$H65*OFFSET(ORÇAMENTO!$X$15,ROW(AB65)-ROW(AB$15),0),
ROUND(ROUND(OFFSET($P65,0,AB$13),15-13*ORÇAMENTO!$AF$7)*OFFSET(ORÇAMENTO!$W$15,ROW(AB65)-ROW(AB$15),0),15-13*ORÇAMENTO!$AF$11)),0)</f>
        <v>0</v>
      </c>
      <c r="AC65" s="545">
        <f ca="1">IF(AND($D65="Serviço",AC$12&lt;&gt;0,$H65&gt;0,OR(AUTOEVENTO&lt;&gt;"manual",$M65&lt;&gt;1)),
IF(Import.TipoArredondamento&lt;&gt;"TransfereGOV",
ROUND(OFFSET($P65,0,AC$13),15-13*ORÇAMENTO!$AF$7)/$H65*OFFSET(ORÇAMENTO!$X$15,ROW(AC65)-ROW(AC$15),0),
ROUND(ROUND(OFFSET($P65,0,AC$13),15-13*ORÇAMENTO!$AF$7)*OFFSET(ORÇAMENTO!$W$15,ROW(AC65)-ROW(AC$15),0),15-13*ORÇAMENTO!$AF$11)),0)</f>
        <v>0</v>
      </c>
      <c r="AD65" s="545">
        <f ca="1">IF(AND($D65="Serviço",AD$12&lt;&gt;0,$H65&gt;0,OR(AUTOEVENTO&lt;&gt;"manual",$M65&lt;&gt;1)),
IF(Import.TipoArredondamento&lt;&gt;"TransfereGOV",
ROUND(OFFSET($P65,0,AD$13),15-13*ORÇAMENTO!$AF$7)/$H65*OFFSET(ORÇAMENTO!$X$15,ROW(AD65)-ROW(AD$15),0),
ROUND(ROUND(OFFSET($P65,0,AD$13),15-13*ORÇAMENTO!$AF$7)*OFFSET(ORÇAMENTO!$W$15,ROW(AD65)-ROW(AD$15),0),15-13*ORÇAMENTO!$AF$11)),0)</f>
        <v>0</v>
      </c>
      <c r="AE65" s="545">
        <f ca="1">IF(AND($D65="Serviço",AE$12&lt;&gt;0,$H65&gt;0,OR(AUTOEVENTO&lt;&gt;"manual",$M65&lt;&gt;1)),
IF(Import.TipoArredondamento&lt;&gt;"TransfereGOV",
ROUND(OFFSET($P65,0,AE$13),15-13*ORÇAMENTO!$AF$7)/$H65*OFFSET(ORÇAMENTO!$X$15,ROW(AE65)-ROW(AE$15),0),
ROUND(ROUND(OFFSET($P65,0,AE$13),15-13*ORÇAMENTO!$AF$7)*OFFSET(ORÇAMENTO!$W$15,ROW(AE65)-ROW(AE$15),0),15-13*ORÇAMENTO!$AF$11)),0)</f>
        <v>0</v>
      </c>
      <c r="AF65" s="545">
        <f ca="1">IF(AND($D65="Serviço",AF$12&lt;&gt;0,$H65&gt;0,OR(AUTOEVENTO&lt;&gt;"manual",$M65&lt;&gt;1)),
IF(Import.TipoArredondamento&lt;&gt;"TransfereGOV",
ROUND(OFFSET($P65,0,AF$13),15-13*ORÇAMENTO!$AF$7)/$H65*OFFSET(ORÇAMENTO!$X$15,ROW(AF65)-ROW(AF$15),0),
ROUND(ROUND(OFFSET($P65,0,AF$13),15-13*ORÇAMENTO!$AF$7)*OFFSET(ORÇAMENTO!$W$15,ROW(AF65)-ROW(AF$15),0),15-13*ORÇAMENTO!$AF$11)),0)</f>
        <v>0</v>
      </c>
      <c r="AG65" s="545">
        <f ca="1">IF(AND($D65="Serviço",AG$12&lt;&gt;0,$H65&gt;0,OR(AUTOEVENTO&lt;&gt;"manual",$M65&lt;&gt;1)),
IF(Import.TipoArredondamento&lt;&gt;"TransfereGOV",
ROUND(OFFSET($P65,0,AG$13),15-13*ORÇAMENTO!$AF$7)/$H65*OFFSET(ORÇAMENTO!$X$15,ROW(AG65)-ROW(AG$15),0),
ROUND(ROUND(OFFSET($P65,0,AG$13),15-13*ORÇAMENTO!$AF$7)*OFFSET(ORÇAMENTO!$W$15,ROW(AG65)-ROW(AG$15),0),15-13*ORÇAMENTO!$AF$11)),0)</f>
        <v>0</v>
      </c>
      <c r="AH65" s="545">
        <f ca="1">IF(AND($D65="Serviço",AH$12&lt;&gt;0,$H65&gt;0,OR(AUTOEVENTO&lt;&gt;"manual",$M65&lt;&gt;1)),
IF(Import.TipoArredondamento&lt;&gt;"TransfereGOV",
ROUND(OFFSET($P65,0,AH$13),15-13*ORÇAMENTO!$AF$7)/$H65*OFFSET(ORÇAMENTO!$X$15,ROW(AH65)-ROW(AH$15),0),
ROUND(ROUND(OFFSET($P65,0,AH$13),15-13*ORÇAMENTO!$AF$7)*OFFSET(ORÇAMENTO!$W$15,ROW(AH65)-ROW(AH$15),0),15-13*ORÇAMENTO!$AF$11)),0)</f>
        <v>0</v>
      </c>
      <c r="AI65" s="545">
        <f ca="1">IF(AND($D65="Serviço",AI$12&lt;&gt;0,$H65&gt;0,OR(AUTOEVENTO&lt;&gt;"manual",$M65&lt;&gt;1)),
IF(Import.TipoArredondamento&lt;&gt;"TransfereGOV",
ROUND(OFFSET($P65,0,AI$13),15-13*ORÇAMENTO!$AF$7)/$H65*OFFSET(ORÇAMENTO!$X$15,ROW(AI65)-ROW(AI$15),0),
ROUND(ROUND(OFFSET($P65,0,AI$13),15-13*ORÇAMENTO!$AF$7)*OFFSET(ORÇAMENTO!$W$15,ROW(AI65)-ROW(AI$15),0),15-13*ORÇAMENTO!$AF$11)),0)</f>
        <v>0</v>
      </c>
      <c r="AJ65" s="545">
        <f ca="1">IF(AND($D65="Serviço",AJ$12&lt;&gt;0,$H65&gt;0,OR(AUTOEVENTO&lt;&gt;"manual",$M65&lt;&gt;1)),
IF(Import.TipoArredondamento&lt;&gt;"TransfereGOV",
ROUND(OFFSET($P65,0,AJ$13),15-13*ORÇAMENTO!$AF$7)/$H65*OFFSET(ORÇAMENTO!$X$15,ROW(AJ65)-ROW(AJ$15),0),
ROUND(ROUND(OFFSET($P65,0,AJ$13),15-13*ORÇAMENTO!$AF$7)*OFFSET(ORÇAMENTO!$W$15,ROW(AJ65)-ROW(AJ$15),0),15-13*ORÇAMENTO!$AF$11)),0)</f>
        <v>0</v>
      </c>
      <c r="AK65" s="546">
        <f ca="1">IF(AND($D65="Serviço",AK$12&lt;&gt;0,$H65&gt;0,OR(AUTOEVENTO&lt;&gt;"manual",$M65&lt;&gt;1)),
IF(Import.TipoArredondamento&lt;&gt;"TransfereGOV",
ROUND(OFFSET($P65,0,AK$13),15-13*ORÇAMENTO!$AF$7)/$H65*OFFSET(ORÇAMENTO!$X$15,ROW(AK65)-ROW(AK$15),0),
ROUND(ROUND(OFFSET($P65,0,AK$13),15-13*ORÇAMENTO!$AF$7)*OFFSET(ORÇAMENTO!$W$15,ROW(AK65)-ROW(AK$15),0),15-13*ORÇAMENTO!$AF$11)),0)</f>
        <v>0</v>
      </c>
      <c r="AM65" s="181">
        <f ca="1">IF($D65&lt;&gt;"Serviço",0,IF(AND(AUTOEVENTO="Manual",$M65=1),0,IF(OFFSET(CRONOPLE!$F$14,$M65,AM$13)="",10^12,OFFSET(CRONOPLE!$F$14,$M65,AM$13))))</f>
        <v>1000000000000</v>
      </c>
      <c r="AN65" s="181">
        <f ca="1">IF($D65&lt;&gt;"Serviço",0,IF(AND(AUTOEVENTO="Manual",$M65=1),0,IF(OFFSET(CRONOPLE!$F$14,$M65,AN$13)="",10^12,OFFSET(CRONOPLE!$F$14,$M65,AN$13))))</f>
        <v>1000000000000</v>
      </c>
      <c r="AO65" s="181">
        <f ca="1">IF($D65&lt;&gt;"Serviço",0,IF(AND(AUTOEVENTO="Manual",$M65=1),0,IF(OFFSET(CRONOPLE!$F$14,$M65,AO$13)="",10^12,OFFSET(CRONOPLE!$F$14,$M65,AO$13))))</f>
        <v>1000000000000</v>
      </c>
      <c r="AP65" s="181">
        <f ca="1">IF($D65&lt;&gt;"Serviço",0,IF(AND(AUTOEVENTO="Manual",$M65=1),0,IF(OFFSET(CRONOPLE!$F$14,$M65,AP$13)="",10^12,OFFSET(CRONOPLE!$F$14,$M65,AP$13))))</f>
        <v>1000000000000</v>
      </c>
      <c r="AQ65" s="181">
        <f ca="1">IF($D65&lt;&gt;"Serviço",0,IF(AND(AUTOEVENTO="Manual",$M65=1),0,IF(OFFSET(CRONOPLE!$F$14,$M65,AQ$13)="",10^12,OFFSET(CRONOPLE!$F$14,$M65,AQ$13))))</f>
        <v>1000000000000</v>
      </c>
      <c r="AR65" s="181">
        <f ca="1">IF($D65&lt;&gt;"Serviço",0,IF(AND(AUTOEVENTO="Manual",$M65=1),0,IF(OFFSET(CRONOPLE!$F$14,$M65,AR$13)="",10^12,OFFSET(CRONOPLE!$F$14,$M65,AR$13))))</f>
        <v>1000000000000</v>
      </c>
      <c r="AS65" s="181">
        <f ca="1">IF($D65&lt;&gt;"Serviço",0,IF(AND(AUTOEVENTO="Manual",$M65=1),0,IF(OFFSET(CRONOPLE!$F$14,$M65,AS$13)="",10^12,OFFSET(CRONOPLE!$F$14,$M65,AS$13))))</f>
        <v>1000000000000</v>
      </c>
      <c r="AT65" s="181">
        <f ca="1">IF($D65&lt;&gt;"Serviço",0,IF(AND(AUTOEVENTO="Manual",$M65=1),0,IF(OFFSET(CRONOPLE!$F$14,$M65,AT$13)="",10^12,OFFSET(CRONOPLE!$F$14,$M65,AT$13))))</f>
        <v>1000000000000</v>
      </c>
      <c r="AU65" s="181">
        <f ca="1">IF($D65&lt;&gt;"Serviço",0,IF(AND(AUTOEVENTO="Manual",$M65=1),0,IF(OFFSET(CRONOPLE!$F$14,$M65,AU$13)="",10^12,OFFSET(CRONOPLE!$F$14,$M65,AU$13))))</f>
        <v>1000000000000</v>
      </c>
      <c r="AV65" s="181">
        <f ca="1">IF($D65&lt;&gt;"Serviço",0,IF(AND(AUTOEVENTO="Manual",$M65=1),0,IF(OFFSET(CRONOPLE!$F$14,$M65,AV$13)="",10^12,OFFSET(CRONOPLE!$F$14,$M65,AV$13))))</f>
        <v>1000000000000</v>
      </c>
      <c r="AX65" s="182">
        <f ca="1">IF($D65&lt;&gt;"Serviço",0,IF(OR(AND(AUTOEVENTO="Manual",$M65=1),$M65&gt;(ROW(PLE.lastrow)-ROW(PLE.firstrow))),0,IF(OFFSET(PLE!$G$14,$M65,AX$13)="",10^12,OFFSET(PLE!$G$14,$M65,AX$13))))</f>
        <v>1000000000000</v>
      </c>
      <c r="AY65" s="182">
        <f ca="1">IF($D65&lt;&gt;"Serviço",0,IF(OR(AND(AUTOEVENTO="Manual",$M65=1),$M65&gt;(ROW(PLE.lastrow)-ROW(PLE.firstrow))),0,IF(OFFSET(PLE!$G$14,$M65,AY$13)="",10^12,OFFSET(PLE!$G$14,$M65,AY$13))))</f>
        <v>1000000000000</v>
      </c>
      <c r="AZ65" s="182">
        <f ca="1">IF($D65&lt;&gt;"Serviço",0,IF(OR(AND(AUTOEVENTO="Manual",$M65=1),$M65&gt;(ROW(PLE.lastrow)-ROW(PLE.firstrow))),0,IF(OFFSET(PLE!$G$14,$M65,AZ$13)="",10^12,OFFSET(PLE!$G$14,$M65,AZ$13))))</f>
        <v>1000000000000</v>
      </c>
      <c r="BA65" s="182">
        <f ca="1">IF($D65&lt;&gt;"Serviço",0,IF(OR(AND(AUTOEVENTO="Manual",$M65=1),$M65&gt;(ROW(PLE.lastrow)-ROW(PLE.firstrow))),0,IF(OFFSET(PLE!$G$14,$M65,BA$13)="",10^12,OFFSET(PLE!$G$14,$M65,BA$13))))</f>
        <v>1000000000000</v>
      </c>
      <c r="BB65" s="182">
        <f ca="1">IF($D65&lt;&gt;"Serviço",0,IF(OR(AND(AUTOEVENTO="Manual",$M65=1),$M65&gt;(ROW(PLE.lastrow)-ROW(PLE.firstrow))),0,IF(OFFSET(PLE!$G$14,$M65,BB$13)="",10^12,OFFSET(PLE!$G$14,$M65,BB$13))))</f>
        <v>1000000000000</v>
      </c>
      <c r="BC65" s="182">
        <f ca="1">IF($D65&lt;&gt;"Serviço",0,IF(OR(AND(AUTOEVENTO="Manual",$M65=1),$M65&gt;(ROW(PLE.lastrow)-ROW(PLE.firstrow))),0,IF(OFFSET(PLE!$G$14,$M65,BC$13)="",10^12,OFFSET(PLE!$G$14,$M65,BC$13))))</f>
        <v>1000000000000</v>
      </c>
      <c r="BD65" s="182">
        <f ca="1">IF($D65&lt;&gt;"Serviço",0,IF(OR(AND(AUTOEVENTO="Manual",$M65=1),$M65&gt;(ROW(PLE.lastrow)-ROW(PLE.firstrow))),0,IF(OFFSET(PLE!$G$14,$M65,BD$13)="",10^12,OFFSET(PLE!$G$14,$M65,BD$13))))</f>
        <v>1000000000000</v>
      </c>
      <c r="BE65" s="182">
        <f ca="1">IF($D65&lt;&gt;"Serviço",0,IF(OR(AND(AUTOEVENTO="Manual",$M65=1),$M65&gt;(ROW(PLE.lastrow)-ROW(PLE.firstrow))),0,IF(OFFSET(PLE!$G$14,$M65,BE$13)="",10^12,OFFSET(PLE!$G$14,$M65,BE$13))))</f>
        <v>1000000000000</v>
      </c>
      <c r="BF65" s="182">
        <f ca="1">IF($D65&lt;&gt;"Serviço",0,IF(OR(AND(AUTOEVENTO="Manual",$M65=1),$M65&gt;(ROW(PLE.lastrow)-ROW(PLE.firstrow))),0,IF(OFFSET(PLE!$G$14,$M65,BF$13)="",10^12,OFFSET(PLE!$G$14,$M65,BF$13))))</f>
        <v>1000000000000</v>
      </c>
      <c r="BG65" s="182">
        <f ca="1">IF($D65&lt;&gt;"Serviço",0,IF(OR(AND(AUTOEVENTO="Manual",$M65=1),$M65&gt;(ROW(PLE.lastrow)-ROW(PLE.firstrow))),0,IF(OFFSET(PLE!$G$14,$M65,BG$13)="",10^12,OFFSET(PLE!$G$14,$M65,BG$13))))</f>
        <v>1000000000000</v>
      </c>
    </row>
    <row r="66" spans="1:59" ht="12.75" x14ac:dyDescent="0.2">
      <c r="A66" s="7" t="str">
        <f t="shared" ca="1" si="10"/>
        <v>47</v>
      </c>
      <c r="B66" s="7" t="str">
        <f ca="1">OFFSET(ORÇAMENTO!C$15,ROW(B66)-ROW(B$15),0)</f>
        <v>S</v>
      </c>
      <c r="C66" s="7" t="str">
        <f ca="1">OFFSET(ORÇAMENTO!L$15,ROW(C66)-ROW(C$15),0)</f>
        <v>F</v>
      </c>
      <c r="D66" s="118" t="str">
        <f ca="1">OFFSET(ORÇAMENTO!N$15,ROW(D66)-ROW(D$15),0)</f>
        <v>Serviço</v>
      </c>
      <c r="E66" s="119" t="str">
        <f ca="1">OFFSET(ORÇAMENTO!O$15,ROW(E66)-ROW(E$15),0)</f>
        <v>4.3.4.</v>
      </c>
      <c r="F66" s="172" t="str">
        <f ca="1">OFFSET(ORÇAMENTO!R$15,ROW(F66)-ROW(F$15),0)</f>
        <v xml:space="preserve">JANELA DE AÇO BASCULANTE </v>
      </c>
      <c r="G66" s="173" t="str">
        <f ca="1">IF($D66&lt;&gt;"Serviço","",OFFSET(ORÇAMENTO!S$15,ROW(G66)-ROW(G$15),0))</f>
        <v>M2</v>
      </c>
      <c r="H66" s="124">
        <f ca="1">IF($D66&lt;&gt;"Serviço",0,IF(ACOMPANHAMENTO="BM",ROUND(OFFSET(ORÇAMENTO!AJ$15,ROW(H66)-ROW(H$15),0),15-13*ORÇAMENTO!$AF$7),SUMPRODUCT(($Q$12:$AA$12&lt;&gt;"")*ROUND($Q66:$AA66,15-13*ORÇAMENTO!$AF$7))))</f>
        <v>4.5599999999999996</v>
      </c>
      <c r="I66" s="561"/>
      <c r="K66" s="174"/>
      <c r="L66" s="175" t="s">
        <v>255</v>
      </c>
      <c r="M66" s="176">
        <f ca="1">IF($D66&lt;&gt;"Serviço","",IF(AUTOEVENTO="manual",$A66,IF(ISERROR(MATCH($A66,$A$15:OFFSET($A66,-1,0),0)),MAX($M$15:OFFSET(M66,-1,0))+1,INDEX($M$15:OFFSET(M66,-1,0),MATCH($A66,$A$15:OFFSET($A66,-1,0),0)))))</f>
        <v>10</v>
      </c>
      <c r="N66" s="177" t="str">
        <f ca="1">IF($D66&lt;&gt;"Serviço","",IF(AUTOEVENTO="Manual",IF($A66=0,"&lt;-- defina o número do agrupador",OFFSET(EVENTOS!$D$14,$A66,0)),OFFSET($F$15,$A66,0)))</f>
        <v xml:space="preserve">ESQUADRIAS </v>
      </c>
      <c r="O66" s="178"/>
      <c r="Q66" s="178"/>
      <c r="R66" s="179"/>
      <c r="S66" s="179"/>
      <c r="T66" s="179"/>
      <c r="U66" s="179"/>
      <c r="V66" s="179"/>
      <c r="W66" s="179"/>
      <c r="X66" s="179"/>
      <c r="Y66" s="179"/>
      <c r="Z66" s="180"/>
      <c r="AB66" s="544">
        <f ca="1">IF(AND($D66="Serviço",AB$12&lt;&gt;0,$H66&gt;0,OR(AUTOEVENTO&lt;&gt;"manual",$M66&lt;&gt;1)),
IF(Import.TipoArredondamento&lt;&gt;"TransfereGOV",
ROUND(OFFSET($P66,0,AB$13),15-13*ORÇAMENTO!$AF$7)/$H66*OFFSET(ORÇAMENTO!$X$15,ROW(AB66)-ROW(AB$15),0),
ROUND(ROUND(OFFSET($P66,0,AB$13),15-13*ORÇAMENTO!$AF$7)*OFFSET(ORÇAMENTO!$W$15,ROW(AB66)-ROW(AB$15),0),15-13*ORÇAMENTO!$AF$11)),0)</f>
        <v>0</v>
      </c>
      <c r="AC66" s="545">
        <f ca="1">IF(AND($D66="Serviço",AC$12&lt;&gt;0,$H66&gt;0,OR(AUTOEVENTO&lt;&gt;"manual",$M66&lt;&gt;1)),
IF(Import.TipoArredondamento&lt;&gt;"TransfereGOV",
ROUND(OFFSET($P66,0,AC$13),15-13*ORÇAMENTO!$AF$7)/$H66*OFFSET(ORÇAMENTO!$X$15,ROW(AC66)-ROW(AC$15),0),
ROUND(ROUND(OFFSET($P66,0,AC$13),15-13*ORÇAMENTO!$AF$7)*OFFSET(ORÇAMENTO!$W$15,ROW(AC66)-ROW(AC$15),0),15-13*ORÇAMENTO!$AF$11)),0)</f>
        <v>0</v>
      </c>
      <c r="AD66" s="545">
        <f ca="1">IF(AND($D66="Serviço",AD$12&lt;&gt;0,$H66&gt;0,OR(AUTOEVENTO&lt;&gt;"manual",$M66&lt;&gt;1)),
IF(Import.TipoArredondamento&lt;&gt;"TransfereGOV",
ROUND(OFFSET($P66,0,AD$13),15-13*ORÇAMENTO!$AF$7)/$H66*OFFSET(ORÇAMENTO!$X$15,ROW(AD66)-ROW(AD$15),0),
ROUND(ROUND(OFFSET($P66,0,AD$13),15-13*ORÇAMENTO!$AF$7)*OFFSET(ORÇAMENTO!$W$15,ROW(AD66)-ROW(AD$15),0),15-13*ORÇAMENTO!$AF$11)),0)</f>
        <v>0</v>
      </c>
      <c r="AE66" s="545">
        <f ca="1">IF(AND($D66="Serviço",AE$12&lt;&gt;0,$H66&gt;0,OR(AUTOEVENTO&lt;&gt;"manual",$M66&lt;&gt;1)),
IF(Import.TipoArredondamento&lt;&gt;"TransfereGOV",
ROUND(OFFSET($P66,0,AE$13),15-13*ORÇAMENTO!$AF$7)/$H66*OFFSET(ORÇAMENTO!$X$15,ROW(AE66)-ROW(AE$15),0),
ROUND(ROUND(OFFSET($P66,0,AE$13),15-13*ORÇAMENTO!$AF$7)*OFFSET(ORÇAMENTO!$W$15,ROW(AE66)-ROW(AE$15),0),15-13*ORÇAMENTO!$AF$11)),0)</f>
        <v>0</v>
      </c>
      <c r="AF66" s="545">
        <f ca="1">IF(AND($D66="Serviço",AF$12&lt;&gt;0,$H66&gt;0,OR(AUTOEVENTO&lt;&gt;"manual",$M66&lt;&gt;1)),
IF(Import.TipoArredondamento&lt;&gt;"TransfereGOV",
ROUND(OFFSET($P66,0,AF$13),15-13*ORÇAMENTO!$AF$7)/$H66*OFFSET(ORÇAMENTO!$X$15,ROW(AF66)-ROW(AF$15),0),
ROUND(ROUND(OFFSET($P66,0,AF$13),15-13*ORÇAMENTO!$AF$7)*OFFSET(ORÇAMENTO!$W$15,ROW(AF66)-ROW(AF$15),0),15-13*ORÇAMENTO!$AF$11)),0)</f>
        <v>0</v>
      </c>
      <c r="AG66" s="545">
        <f ca="1">IF(AND($D66="Serviço",AG$12&lt;&gt;0,$H66&gt;0,OR(AUTOEVENTO&lt;&gt;"manual",$M66&lt;&gt;1)),
IF(Import.TipoArredondamento&lt;&gt;"TransfereGOV",
ROUND(OFFSET($P66,0,AG$13),15-13*ORÇAMENTO!$AF$7)/$H66*OFFSET(ORÇAMENTO!$X$15,ROW(AG66)-ROW(AG$15),0),
ROUND(ROUND(OFFSET($P66,0,AG$13),15-13*ORÇAMENTO!$AF$7)*OFFSET(ORÇAMENTO!$W$15,ROW(AG66)-ROW(AG$15),0),15-13*ORÇAMENTO!$AF$11)),0)</f>
        <v>0</v>
      </c>
      <c r="AH66" s="545">
        <f ca="1">IF(AND($D66="Serviço",AH$12&lt;&gt;0,$H66&gt;0,OR(AUTOEVENTO&lt;&gt;"manual",$M66&lt;&gt;1)),
IF(Import.TipoArredondamento&lt;&gt;"TransfereGOV",
ROUND(OFFSET($P66,0,AH$13),15-13*ORÇAMENTO!$AF$7)/$H66*OFFSET(ORÇAMENTO!$X$15,ROW(AH66)-ROW(AH$15),0),
ROUND(ROUND(OFFSET($P66,0,AH$13),15-13*ORÇAMENTO!$AF$7)*OFFSET(ORÇAMENTO!$W$15,ROW(AH66)-ROW(AH$15),0),15-13*ORÇAMENTO!$AF$11)),0)</f>
        <v>0</v>
      </c>
      <c r="AI66" s="545">
        <f ca="1">IF(AND($D66="Serviço",AI$12&lt;&gt;0,$H66&gt;0,OR(AUTOEVENTO&lt;&gt;"manual",$M66&lt;&gt;1)),
IF(Import.TipoArredondamento&lt;&gt;"TransfereGOV",
ROUND(OFFSET($P66,0,AI$13),15-13*ORÇAMENTO!$AF$7)/$H66*OFFSET(ORÇAMENTO!$X$15,ROW(AI66)-ROW(AI$15),0),
ROUND(ROUND(OFFSET($P66,0,AI$13),15-13*ORÇAMENTO!$AF$7)*OFFSET(ORÇAMENTO!$W$15,ROW(AI66)-ROW(AI$15),0),15-13*ORÇAMENTO!$AF$11)),0)</f>
        <v>0</v>
      </c>
      <c r="AJ66" s="545">
        <f ca="1">IF(AND($D66="Serviço",AJ$12&lt;&gt;0,$H66&gt;0,OR(AUTOEVENTO&lt;&gt;"manual",$M66&lt;&gt;1)),
IF(Import.TipoArredondamento&lt;&gt;"TransfereGOV",
ROUND(OFFSET($P66,0,AJ$13),15-13*ORÇAMENTO!$AF$7)/$H66*OFFSET(ORÇAMENTO!$X$15,ROW(AJ66)-ROW(AJ$15),0),
ROUND(ROUND(OFFSET($P66,0,AJ$13),15-13*ORÇAMENTO!$AF$7)*OFFSET(ORÇAMENTO!$W$15,ROW(AJ66)-ROW(AJ$15),0),15-13*ORÇAMENTO!$AF$11)),0)</f>
        <v>0</v>
      </c>
      <c r="AK66" s="546">
        <f ca="1">IF(AND($D66="Serviço",AK$12&lt;&gt;0,$H66&gt;0,OR(AUTOEVENTO&lt;&gt;"manual",$M66&lt;&gt;1)),
IF(Import.TipoArredondamento&lt;&gt;"TransfereGOV",
ROUND(OFFSET($P66,0,AK$13),15-13*ORÇAMENTO!$AF$7)/$H66*OFFSET(ORÇAMENTO!$X$15,ROW(AK66)-ROW(AK$15),0),
ROUND(ROUND(OFFSET($P66,0,AK$13),15-13*ORÇAMENTO!$AF$7)*OFFSET(ORÇAMENTO!$W$15,ROW(AK66)-ROW(AK$15),0),15-13*ORÇAMENTO!$AF$11)),0)</f>
        <v>0</v>
      </c>
      <c r="AM66" s="181">
        <f ca="1">IF($D66&lt;&gt;"Serviço",0,IF(AND(AUTOEVENTO="Manual",$M66=1),0,IF(OFFSET(CRONOPLE!$F$14,$M66,AM$13)="",10^12,OFFSET(CRONOPLE!$F$14,$M66,AM$13))))</f>
        <v>1000000000000</v>
      </c>
      <c r="AN66" s="181">
        <f ca="1">IF($D66&lt;&gt;"Serviço",0,IF(AND(AUTOEVENTO="Manual",$M66=1),0,IF(OFFSET(CRONOPLE!$F$14,$M66,AN$13)="",10^12,OFFSET(CRONOPLE!$F$14,$M66,AN$13))))</f>
        <v>1000000000000</v>
      </c>
      <c r="AO66" s="181">
        <f ca="1">IF($D66&lt;&gt;"Serviço",0,IF(AND(AUTOEVENTO="Manual",$M66=1),0,IF(OFFSET(CRONOPLE!$F$14,$M66,AO$13)="",10^12,OFFSET(CRONOPLE!$F$14,$M66,AO$13))))</f>
        <v>1000000000000</v>
      </c>
      <c r="AP66" s="181">
        <f ca="1">IF($D66&lt;&gt;"Serviço",0,IF(AND(AUTOEVENTO="Manual",$M66=1),0,IF(OFFSET(CRONOPLE!$F$14,$M66,AP$13)="",10^12,OFFSET(CRONOPLE!$F$14,$M66,AP$13))))</f>
        <v>1000000000000</v>
      </c>
      <c r="AQ66" s="181">
        <f ca="1">IF($D66&lt;&gt;"Serviço",0,IF(AND(AUTOEVENTO="Manual",$M66=1),0,IF(OFFSET(CRONOPLE!$F$14,$M66,AQ$13)="",10^12,OFFSET(CRONOPLE!$F$14,$M66,AQ$13))))</f>
        <v>1000000000000</v>
      </c>
      <c r="AR66" s="181">
        <f ca="1">IF($D66&lt;&gt;"Serviço",0,IF(AND(AUTOEVENTO="Manual",$M66=1),0,IF(OFFSET(CRONOPLE!$F$14,$M66,AR$13)="",10^12,OFFSET(CRONOPLE!$F$14,$M66,AR$13))))</f>
        <v>1000000000000</v>
      </c>
      <c r="AS66" s="181">
        <f ca="1">IF($D66&lt;&gt;"Serviço",0,IF(AND(AUTOEVENTO="Manual",$M66=1),0,IF(OFFSET(CRONOPLE!$F$14,$M66,AS$13)="",10^12,OFFSET(CRONOPLE!$F$14,$M66,AS$13))))</f>
        <v>1000000000000</v>
      </c>
      <c r="AT66" s="181">
        <f ca="1">IF($D66&lt;&gt;"Serviço",0,IF(AND(AUTOEVENTO="Manual",$M66=1),0,IF(OFFSET(CRONOPLE!$F$14,$M66,AT$13)="",10^12,OFFSET(CRONOPLE!$F$14,$M66,AT$13))))</f>
        <v>1000000000000</v>
      </c>
      <c r="AU66" s="181">
        <f ca="1">IF($D66&lt;&gt;"Serviço",0,IF(AND(AUTOEVENTO="Manual",$M66=1),0,IF(OFFSET(CRONOPLE!$F$14,$M66,AU$13)="",10^12,OFFSET(CRONOPLE!$F$14,$M66,AU$13))))</f>
        <v>1000000000000</v>
      </c>
      <c r="AV66" s="181">
        <f ca="1">IF($D66&lt;&gt;"Serviço",0,IF(AND(AUTOEVENTO="Manual",$M66=1),0,IF(OFFSET(CRONOPLE!$F$14,$M66,AV$13)="",10^12,OFFSET(CRONOPLE!$F$14,$M66,AV$13))))</f>
        <v>1000000000000</v>
      </c>
      <c r="AX66" s="182">
        <f ca="1">IF($D66&lt;&gt;"Serviço",0,IF(OR(AND(AUTOEVENTO="Manual",$M66=1),$M66&gt;(ROW(PLE.lastrow)-ROW(PLE.firstrow))),0,IF(OFFSET(PLE!$G$14,$M66,AX$13)="",10^12,OFFSET(PLE!$G$14,$M66,AX$13))))</f>
        <v>1000000000000</v>
      </c>
      <c r="AY66" s="182">
        <f ca="1">IF($D66&lt;&gt;"Serviço",0,IF(OR(AND(AUTOEVENTO="Manual",$M66=1),$M66&gt;(ROW(PLE.lastrow)-ROW(PLE.firstrow))),0,IF(OFFSET(PLE!$G$14,$M66,AY$13)="",10^12,OFFSET(PLE!$G$14,$M66,AY$13))))</f>
        <v>1000000000000</v>
      </c>
      <c r="AZ66" s="182">
        <f ca="1">IF($D66&lt;&gt;"Serviço",0,IF(OR(AND(AUTOEVENTO="Manual",$M66=1),$M66&gt;(ROW(PLE.lastrow)-ROW(PLE.firstrow))),0,IF(OFFSET(PLE!$G$14,$M66,AZ$13)="",10^12,OFFSET(PLE!$G$14,$M66,AZ$13))))</f>
        <v>1000000000000</v>
      </c>
      <c r="BA66" s="182">
        <f ca="1">IF($D66&lt;&gt;"Serviço",0,IF(OR(AND(AUTOEVENTO="Manual",$M66=1),$M66&gt;(ROW(PLE.lastrow)-ROW(PLE.firstrow))),0,IF(OFFSET(PLE!$G$14,$M66,BA$13)="",10^12,OFFSET(PLE!$G$14,$M66,BA$13))))</f>
        <v>1000000000000</v>
      </c>
      <c r="BB66" s="182">
        <f ca="1">IF($D66&lt;&gt;"Serviço",0,IF(OR(AND(AUTOEVENTO="Manual",$M66=1),$M66&gt;(ROW(PLE.lastrow)-ROW(PLE.firstrow))),0,IF(OFFSET(PLE!$G$14,$M66,BB$13)="",10^12,OFFSET(PLE!$G$14,$M66,BB$13))))</f>
        <v>1000000000000</v>
      </c>
      <c r="BC66" s="182">
        <f ca="1">IF($D66&lt;&gt;"Serviço",0,IF(OR(AND(AUTOEVENTO="Manual",$M66=1),$M66&gt;(ROW(PLE.lastrow)-ROW(PLE.firstrow))),0,IF(OFFSET(PLE!$G$14,$M66,BC$13)="",10^12,OFFSET(PLE!$G$14,$M66,BC$13))))</f>
        <v>1000000000000</v>
      </c>
      <c r="BD66" s="182">
        <f ca="1">IF($D66&lt;&gt;"Serviço",0,IF(OR(AND(AUTOEVENTO="Manual",$M66=1),$M66&gt;(ROW(PLE.lastrow)-ROW(PLE.firstrow))),0,IF(OFFSET(PLE!$G$14,$M66,BD$13)="",10^12,OFFSET(PLE!$G$14,$M66,BD$13))))</f>
        <v>1000000000000</v>
      </c>
      <c r="BE66" s="182">
        <f ca="1">IF($D66&lt;&gt;"Serviço",0,IF(OR(AND(AUTOEVENTO="Manual",$M66=1),$M66&gt;(ROW(PLE.lastrow)-ROW(PLE.firstrow))),0,IF(OFFSET(PLE!$G$14,$M66,BE$13)="",10^12,OFFSET(PLE!$G$14,$M66,BE$13))))</f>
        <v>1000000000000</v>
      </c>
      <c r="BF66" s="182">
        <f ca="1">IF($D66&lt;&gt;"Serviço",0,IF(OR(AND(AUTOEVENTO="Manual",$M66=1),$M66&gt;(ROW(PLE.lastrow)-ROW(PLE.firstrow))),0,IF(OFFSET(PLE!$G$14,$M66,BF$13)="",10^12,OFFSET(PLE!$G$14,$M66,BF$13))))</f>
        <v>1000000000000</v>
      </c>
      <c r="BG66" s="182">
        <f ca="1">IF($D66&lt;&gt;"Serviço",0,IF(OR(AND(AUTOEVENTO="Manual",$M66=1),$M66&gt;(ROW(PLE.lastrow)-ROW(PLE.firstrow))),0,IF(OFFSET(PLE!$G$14,$M66,BG$13)="",10^12,OFFSET(PLE!$G$14,$M66,BG$13))))</f>
        <v>1000000000000</v>
      </c>
    </row>
    <row r="67" spans="1:59" ht="12.75" x14ac:dyDescent="0.2">
      <c r="A67" s="7" t="str">
        <f t="shared" ca="1" si="10"/>
        <v>52.</v>
      </c>
      <c r="B67" s="7">
        <f ca="1">OFFSET(ORÇAMENTO!C$15,ROW(B67)-ROW(B$15),0)</f>
        <v>2</v>
      </c>
      <c r="C67" s="7" t="str">
        <f ca="1">OFFSET(ORÇAMENTO!L$15,ROW(C67)-ROW(C$15),0)</f>
        <v>F</v>
      </c>
      <c r="D67" s="118" t="str">
        <f ca="1">OFFSET(ORÇAMENTO!N$15,ROW(D67)-ROW(D$15),0)</f>
        <v>Nível 2</v>
      </c>
      <c r="E67" s="119" t="str">
        <f ca="1">OFFSET(ORÇAMENTO!O$15,ROW(E67)-ROW(E$15),0)</f>
        <v>4.4.</v>
      </c>
      <c r="F67" s="172" t="str">
        <f ca="1">OFFSET(ORÇAMENTO!R$15,ROW(F67)-ROW(F$15),0)</f>
        <v>GRADIL METÁLICO</v>
      </c>
      <c r="G67" s="173" t="str">
        <f ca="1">IF($D67&lt;&gt;"Serviço","",OFFSET(ORÇAMENTO!S$15,ROW(G67)-ROW(G$15),0))</f>
        <v/>
      </c>
      <c r="H67" s="124">
        <f ca="1">IF($D67&lt;&gt;"Serviço",0,IF(ACOMPANHAMENTO="BM",ROUND(OFFSET(ORÇAMENTO!AJ$15,ROW(H67)-ROW(H$15),0),15-13*ORÇAMENTO!$AF$7),SUMPRODUCT(($Q$12:$AA$12&lt;&gt;"")*ROUND($Q67:$AA67,15-13*ORÇAMENTO!$AF$7))))</f>
        <v>0</v>
      </c>
      <c r="I67" s="561"/>
      <c r="K67" s="174"/>
      <c r="L67" s="175" t="s">
        <v>255</v>
      </c>
      <c r="M67" s="176" t="str">
        <f ca="1">IF($D67&lt;&gt;"Serviço","",IF(AUTOEVENTO="manual",$A67,IF(ISERROR(MATCH($A67,$A$15:OFFSET($A67,-1,0),0)),MAX($M$15:OFFSET(M67,-1,0))+1,INDEX($M$15:OFFSET(M67,-1,0),MATCH($A67,$A$15:OFFSET($A67,-1,0),0)))))</f>
        <v/>
      </c>
      <c r="N67" s="177" t="str">
        <f ca="1">IF($D67&lt;&gt;"Serviço","",IF(AUTOEVENTO="Manual",IF($A67=0,"&lt;-- defina o número do agrupador",OFFSET(EVENTOS!$D$14,$A67,0)),OFFSET($F$15,$A67,0)))</f>
        <v/>
      </c>
      <c r="O67" s="178"/>
      <c r="Q67" s="178"/>
      <c r="R67" s="179"/>
      <c r="S67" s="179"/>
      <c r="T67" s="179"/>
      <c r="U67" s="179"/>
      <c r="V67" s="179"/>
      <c r="W67" s="179"/>
      <c r="X67" s="179"/>
      <c r="Y67" s="179"/>
      <c r="Z67" s="180"/>
      <c r="AB67" s="544">
        <f ca="1">IF(AND($D67="Serviço",AB$12&lt;&gt;0,$H67&gt;0,OR(AUTOEVENTO&lt;&gt;"manual",$M67&lt;&gt;1)),
IF(Import.TipoArredondamento&lt;&gt;"TransfereGOV",
ROUND(OFFSET($P67,0,AB$13),15-13*ORÇAMENTO!$AF$7)/$H67*OFFSET(ORÇAMENTO!$X$15,ROW(AB67)-ROW(AB$15),0),
ROUND(ROUND(OFFSET($P67,0,AB$13),15-13*ORÇAMENTO!$AF$7)*OFFSET(ORÇAMENTO!$W$15,ROW(AB67)-ROW(AB$15),0),15-13*ORÇAMENTO!$AF$11)),0)</f>
        <v>0</v>
      </c>
      <c r="AC67" s="545">
        <f ca="1">IF(AND($D67="Serviço",AC$12&lt;&gt;0,$H67&gt;0,OR(AUTOEVENTO&lt;&gt;"manual",$M67&lt;&gt;1)),
IF(Import.TipoArredondamento&lt;&gt;"TransfereGOV",
ROUND(OFFSET($P67,0,AC$13),15-13*ORÇAMENTO!$AF$7)/$H67*OFFSET(ORÇAMENTO!$X$15,ROW(AC67)-ROW(AC$15),0),
ROUND(ROUND(OFFSET($P67,0,AC$13),15-13*ORÇAMENTO!$AF$7)*OFFSET(ORÇAMENTO!$W$15,ROW(AC67)-ROW(AC$15),0),15-13*ORÇAMENTO!$AF$11)),0)</f>
        <v>0</v>
      </c>
      <c r="AD67" s="545">
        <f ca="1">IF(AND($D67="Serviço",AD$12&lt;&gt;0,$H67&gt;0,OR(AUTOEVENTO&lt;&gt;"manual",$M67&lt;&gt;1)),
IF(Import.TipoArredondamento&lt;&gt;"TransfereGOV",
ROUND(OFFSET($P67,0,AD$13),15-13*ORÇAMENTO!$AF$7)/$H67*OFFSET(ORÇAMENTO!$X$15,ROW(AD67)-ROW(AD$15),0),
ROUND(ROUND(OFFSET($P67,0,AD$13),15-13*ORÇAMENTO!$AF$7)*OFFSET(ORÇAMENTO!$W$15,ROW(AD67)-ROW(AD$15),0),15-13*ORÇAMENTO!$AF$11)),0)</f>
        <v>0</v>
      </c>
      <c r="AE67" s="545">
        <f ca="1">IF(AND($D67="Serviço",AE$12&lt;&gt;0,$H67&gt;0,OR(AUTOEVENTO&lt;&gt;"manual",$M67&lt;&gt;1)),
IF(Import.TipoArredondamento&lt;&gt;"TransfereGOV",
ROUND(OFFSET($P67,0,AE$13),15-13*ORÇAMENTO!$AF$7)/$H67*OFFSET(ORÇAMENTO!$X$15,ROW(AE67)-ROW(AE$15),0),
ROUND(ROUND(OFFSET($P67,0,AE$13),15-13*ORÇAMENTO!$AF$7)*OFFSET(ORÇAMENTO!$W$15,ROW(AE67)-ROW(AE$15),0),15-13*ORÇAMENTO!$AF$11)),0)</f>
        <v>0</v>
      </c>
      <c r="AF67" s="545">
        <f ca="1">IF(AND($D67="Serviço",AF$12&lt;&gt;0,$H67&gt;0,OR(AUTOEVENTO&lt;&gt;"manual",$M67&lt;&gt;1)),
IF(Import.TipoArredondamento&lt;&gt;"TransfereGOV",
ROUND(OFFSET($P67,0,AF$13),15-13*ORÇAMENTO!$AF$7)/$H67*OFFSET(ORÇAMENTO!$X$15,ROW(AF67)-ROW(AF$15),0),
ROUND(ROUND(OFFSET($P67,0,AF$13),15-13*ORÇAMENTO!$AF$7)*OFFSET(ORÇAMENTO!$W$15,ROW(AF67)-ROW(AF$15),0),15-13*ORÇAMENTO!$AF$11)),0)</f>
        <v>0</v>
      </c>
      <c r="AG67" s="545">
        <f ca="1">IF(AND($D67="Serviço",AG$12&lt;&gt;0,$H67&gt;0,OR(AUTOEVENTO&lt;&gt;"manual",$M67&lt;&gt;1)),
IF(Import.TipoArredondamento&lt;&gt;"TransfereGOV",
ROUND(OFFSET($P67,0,AG$13),15-13*ORÇAMENTO!$AF$7)/$H67*OFFSET(ORÇAMENTO!$X$15,ROW(AG67)-ROW(AG$15),0),
ROUND(ROUND(OFFSET($P67,0,AG$13),15-13*ORÇAMENTO!$AF$7)*OFFSET(ORÇAMENTO!$W$15,ROW(AG67)-ROW(AG$15),0),15-13*ORÇAMENTO!$AF$11)),0)</f>
        <v>0</v>
      </c>
      <c r="AH67" s="545">
        <f ca="1">IF(AND($D67="Serviço",AH$12&lt;&gt;0,$H67&gt;0,OR(AUTOEVENTO&lt;&gt;"manual",$M67&lt;&gt;1)),
IF(Import.TipoArredondamento&lt;&gt;"TransfereGOV",
ROUND(OFFSET($P67,0,AH$13),15-13*ORÇAMENTO!$AF$7)/$H67*OFFSET(ORÇAMENTO!$X$15,ROW(AH67)-ROW(AH$15),0),
ROUND(ROUND(OFFSET($P67,0,AH$13),15-13*ORÇAMENTO!$AF$7)*OFFSET(ORÇAMENTO!$W$15,ROW(AH67)-ROW(AH$15),0),15-13*ORÇAMENTO!$AF$11)),0)</f>
        <v>0</v>
      </c>
      <c r="AI67" s="545">
        <f ca="1">IF(AND($D67="Serviço",AI$12&lt;&gt;0,$H67&gt;0,OR(AUTOEVENTO&lt;&gt;"manual",$M67&lt;&gt;1)),
IF(Import.TipoArredondamento&lt;&gt;"TransfereGOV",
ROUND(OFFSET($P67,0,AI$13),15-13*ORÇAMENTO!$AF$7)/$H67*OFFSET(ORÇAMENTO!$X$15,ROW(AI67)-ROW(AI$15),0),
ROUND(ROUND(OFFSET($P67,0,AI$13),15-13*ORÇAMENTO!$AF$7)*OFFSET(ORÇAMENTO!$W$15,ROW(AI67)-ROW(AI$15),0),15-13*ORÇAMENTO!$AF$11)),0)</f>
        <v>0</v>
      </c>
      <c r="AJ67" s="545">
        <f ca="1">IF(AND($D67="Serviço",AJ$12&lt;&gt;0,$H67&gt;0,OR(AUTOEVENTO&lt;&gt;"manual",$M67&lt;&gt;1)),
IF(Import.TipoArredondamento&lt;&gt;"TransfereGOV",
ROUND(OFFSET($P67,0,AJ$13),15-13*ORÇAMENTO!$AF$7)/$H67*OFFSET(ORÇAMENTO!$X$15,ROW(AJ67)-ROW(AJ$15),0),
ROUND(ROUND(OFFSET($P67,0,AJ$13),15-13*ORÇAMENTO!$AF$7)*OFFSET(ORÇAMENTO!$W$15,ROW(AJ67)-ROW(AJ$15),0),15-13*ORÇAMENTO!$AF$11)),0)</f>
        <v>0</v>
      </c>
      <c r="AK67" s="546">
        <f ca="1">IF(AND($D67="Serviço",AK$12&lt;&gt;0,$H67&gt;0,OR(AUTOEVENTO&lt;&gt;"manual",$M67&lt;&gt;1)),
IF(Import.TipoArredondamento&lt;&gt;"TransfereGOV",
ROUND(OFFSET($P67,0,AK$13),15-13*ORÇAMENTO!$AF$7)/$H67*OFFSET(ORÇAMENTO!$X$15,ROW(AK67)-ROW(AK$15),0),
ROUND(ROUND(OFFSET($P67,0,AK$13),15-13*ORÇAMENTO!$AF$7)*OFFSET(ORÇAMENTO!$W$15,ROW(AK67)-ROW(AK$15),0),15-13*ORÇAMENTO!$AF$11)),0)</f>
        <v>0</v>
      </c>
      <c r="AM67" s="181">
        <f ca="1">IF($D67&lt;&gt;"Serviço",0,IF(AND(AUTOEVENTO="Manual",$M67=1),0,IF(OFFSET(CRONOPLE!$F$14,$M67,AM$13)="",10^12,OFFSET(CRONOPLE!$F$14,$M67,AM$13))))</f>
        <v>0</v>
      </c>
      <c r="AN67" s="181">
        <f ca="1">IF($D67&lt;&gt;"Serviço",0,IF(AND(AUTOEVENTO="Manual",$M67=1),0,IF(OFFSET(CRONOPLE!$F$14,$M67,AN$13)="",10^12,OFFSET(CRONOPLE!$F$14,$M67,AN$13))))</f>
        <v>0</v>
      </c>
      <c r="AO67" s="181">
        <f ca="1">IF($D67&lt;&gt;"Serviço",0,IF(AND(AUTOEVENTO="Manual",$M67=1),0,IF(OFFSET(CRONOPLE!$F$14,$M67,AO$13)="",10^12,OFFSET(CRONOPLE!$F$14,$M67,AO$13))))</f>
        <v>0</v>
      </c>
      <c r="AP67" s="181">
        <f ca="1">IF($D67&lt;&gt;"Serviço",0,IF(AND(AUTOEVENTO="Manual",$M67=1),0,IF(OFFSET(CRONOPLE!$F$14,$M67,AP$13)="",10^12,OFFSET(CRONOPLE!$F$14,$M67,AP$13))))</f>
        <v>0</v>
      </c>
      <c r="AQ67" s="181">
        <f ca="1">IF($D67&lt;&gt;"Serviço",0,IF(AND(AUTOEVENTO="Manual",$M67=1),0,IF(OFFSET(CRONOPLE!$F$14,$M67,AQ$13)="",10^12,OFFSET(CRONOPLE!$F$14,$M67,AQ$13))))</f>
        <v>0</v>
      </c>
      <c r="AR67" s="181">
        <f ca="1">IF($D67&lt;&gt;"Serviço",0,IF(AND(AUTOEVENTO="Manual",$M67=1),0,IF(OFFSET(CRONOPLE!$F$14,$M67,AR$13)="",10^12,OFFSET(CRONOPLE!$F$14,$M67,AR$13))))</f>
        <v>0</v>
      </c>
      <c r="AS67" s="181">
        <f ca="1">IF($D67&lt;&gt;"Serviço",0,IF(AND(AUTOEVENTO="Manual",$M67=1),0,IF(OFFSET(CRONOPLE!$F$14,$M67,AS$13)="",10^12,OFFSET(CRONOPLE!$F$14,$M67,AS$13))))</f>
        <v>0</v>
      </c>
      <c r="AT67" s="181">
        <f ca="1">IF($D67&lt;&gt;"Serviço",0,IF(AND(AUTOEVENTO="Manual",$M67=1),0,IF(OFFSET(CRONOPLE!$F$14,$M67,AT$13)="",10^12,OFFSET(CRONOPLE!$F$14,$M67,AT$13))))</f>
        <v>0</v>
      </c>
      <c r="AU67" s="181">
        <f ca="1">IF($D67&lt;&gt;"Serviço",0,IF(AND(AUTOEVENTO="Manual",$M67=1),0,IF(OFFSET(CRONOPLE!$F$14,$M67,AU$13)="",10^12,OFFSET(CRONOPLE!$F$14,$M67,AU$13))))</f>
        <v>0</v>
      </c>
      <c r="AV67" s="181">
        <f ca="1">IF($D67&lt;&gt;"Serviço",0,IF(AND(AUTOEVENTO="Manual",$M67=1),0,IF(OFFSET(CRONOPLE!$F$14,$M67,AV$13)="",10^12,OFFSET(CRONOPLE!$F$14,$M67,AV$13))))</f>
        <v>0</v>
      </c>
      <c r="AX67" s="182">
        <f ca="1">IF($D67&lt;&gt;"Serviço",0,IF(OR(AND(AUTOEVENTO="Manual",$M67=1),$M67&gt;(ROW(PLE.lastrow)-ROW(PLE.firstrow))),0,IF(OFFSET(PLE!$G$14,$M67,AX$13)="",10^12,OFFSET(PLE!$G$14,$M67,AX$13))))</f>
        <v>0</v>
      </c>
      <c r="AY67" s="182">
        <f ca="1">IF($D67&lt;&gt;"Serviço",0,IF(OR(AND(AUTOEVENTO="Manual",$M67=1),$M67&gt;(ROW(PLE.lastrow)-ROW(PLE.firstrow))),0,IF(OFFSET(PLE!$G$14,$M67,AY$13)="",10^12,OFFSET(PLE!$G$14,$M67,AY$13))))</f>
        <v>0</v>
      </c>
      <c r="AZ67" s="182">
        <f ca="1">IF($D67&lt;&gt;"Serviço",0,IF(OR(AND(AUTOEVENTO="Manual",$M67=1),$M67&gt;(ROW(PLE.lastrow)-ROW(PLE.firstrow))),0,IF(OFFSET(PLE!$G$14,$M67,AZ$13)="",10^12,OFFSET(PLE!$G$14,$M67,AZ$13))))</f>
        <v>0</v>
      </c>
      <c r="BA67" s="182">
        <f ca="1">IF($D67&lt;&gt;"Serviço",0,IF(OR(AND(AUTOEVENTO="Manual",$M67=1),$M67&gt;(ROW(PLE.lastrow)-ROW(PLE.firstrow))),0,IF(OFFSET(PLE!$G$14,$M67,BA$13)="",10^12,OFFSET(PLE!$G$14,$M67,BA$13))))</f>
        <v>0</v>
      </c>
      <c r="BB67" s="182">
        <f ca="1">IF($D67&lt;&gt;"Serviço",0,IF(OR(AND(AUTOEVENTO="Manual",$M67=1),$M67&gt;(ROW(PLE.lastrow)-ROW(PLE.firstrow))),0,IF(OFFSET(PLE!$G$14,$M67,BB$13)="",10^12,OFFSET(PLE!$G$14,$M67,BB$13))))</f>
        <v>0</v>
      </c>
      <c r="BC67" s="182">
        <f ca="1">IF($D67&lt;&gt;"Serviço",0,IF(OR(AND(AUTOEVENTO="Manual",$M67=1),$M67&gt;(ROW(PLE.lastrow)-ROW(PLE.firstrow))),0,IF(OFFSET(PLE!$G$14,$M67,BC$13)="",10^12,OFFSET(PLE!$G$14,$M67,BC$13))))</f>
        <v>0</v>
      </c>
      <c r="BD67" s="182">
        <f ca="1">IF($D67&lt;&gt;"Serviço",0,IF(OR(AND(AUTOEVENTO="Manual",$M67=1),$M67&gt;(ROW(PLE.lastrow)-ROW(PLE.firstrow))),0,IF(OFFSET(PLE!$G$14,$M67,BD$13)="",10^12,OFFSET(PLE!$G$14,$M67,BD$13))))</f>
        <v>0</v>
      </c>
      <c r="BE67" s="182">
        <f ca="1">IF($D67&lt;&gt;"Serviço",0,IF(OR(AND(AUTOEVENTO="Manual",$M67=1),$M67&gt;(ROW(PLE.lastrow)-ROW(PLE.firstrow))),0,IF(OFFSET(PLE!$G$14,$M67,BE$13)="",10^12,OFFSET(PLE!$G$14,$M67,BE$13))))</f>
        <v>0</v>
      </c>
      <c r="BF67" s="182">
        <f ca="1">IF($D67&lt;&gt;"Serviço",0,IF(OR(AND(AUTOEVENTO="Manual",$M67=1),$M67&gt;(ROW(PLE.lastrow)-ROW(PLE.firstrow))),0,IF(OFFSET(PLE!$G$14,$M67,BF$13)="",10^12,OFFSET(PLE!$G$14,$M67,BF$13))))</f>
        <v>0</v>
      </c>
      <c r="BG67" s="182">
        <f ca="1">IF($D67&lt;&gt;"Serviço",0,IF(OR(AND(AUTOEVENTO="Manual",$M67=1),$M67&gt;(ROW(PLE.lastrow)-ROW(PLE.firstrow))),0,IF(OFFSET(PLE!$G$14,$M67,BG$13)="",10^12,OFFSET(PLE!$G$14,$M67,BG$13))))</f>
        <v>0</v>
      </c>
    </row>
    <row r="68" spans="1:59" ht="25.5" x14ac:dyDescent="0.2">
      <c r="A68" s="7" t="str">
        <f t="shared" ca="1" si="10"/>
        <v>52</v>
      </c>
      <c r="B68" s="7" t="str">
        <f ca="1">OFFSET(ORÇAMENTO!C$15,ROW(B68)-ROW(B$15),0)</f>
        <v>S</v>
      </c>
      <c r="C68" s="7" t="str">
        <f ca="1">OFFSET(ORÇAMENTO!L$15,ROW(C68)-ROW(C$15),0)</f>
        <v>F</v>
      </c>
      <c r="D68" s="118" t="str">
        <f ca="1">OFFSET(ORÇAMENTO!N$15,ROW(D68)-ROW(D$15),0)</f>
        <v>Serviço</v>
      </c>
      <c r="E68" s="119" t="str">
        <f ca="1">OFFSET(ORÇAMENTO!O$15,ROW(E68)-ROW(E$15),0)</f>
        <v>4.4.1.</v>
      </c>
      <c r="F68" s="172" t="str">
        <f ca="1">OFFSET(ORÇAMENTO!R$15,ROW(F68)-ROW(F$15),0)</f>
        <v>PORTA DE FERRO, DE ABRIR, TIPO GRADE COM CHAPA, COM GUARNIÇÕES. AF_10/2025</v>
      </c>
      <c r="G68" s="173" t="str">
        <f ca="1">IF($D68&lt;&gt;"Serviço","",OFFSET(ORÇAMENTO!S$15,ROW(G68)-ROW(G$15),0))</f>
        <v>M2</v>
      </c>
      <c r="H68" s="124">
        <f ca="1">IF($D68&lt;&gt;"Serviço",0,IF(ACOMPANHAMENTO="BM",ROUND(OFFSET(ORÇAMENTO!AJ$15,ROW(H68)-ROW(H$15),0),15-13*ORÇAMENTO!$AF$7),SUMPRODUCT(($Q$12:$AA$12&lt;&gt;"")*ROUND($Q68:$AA68,15-13*ORÇAMENTO!$AF$7))))</f>
        <v>1.68</v>
      </c>
      <c r="I68" s="561"/>
      <c r="K68" s="174"/>
      <c r="L68" s="175" t="s">
        <v>255</v>
      </c>
      <c r="M68" s="176">
        <f ca="1">IF($D68&lt;&gt;"Serviço","",IF(AUTOEVENTO="manual",$A68,IF(ISERROR(MATCH($A68,$A$15:OFFSET($A68,-1,0),0)),MAX($M$15:OFFSET(M68,-1,0))+1,INDEX($M$15:OFFSET(M68,-1,0),MATCH($A68,$A$15:OFFSET($A68,-1,0),0)))))</f>
        <v>11</v>
      </c>
      <c r="N68" s="177" t="str">
        <f ca="1">IF($D68&lt;&gt;"Serviço","",IF(AUTOEVENTO="Manual",IF($A68=0,"&lt;-- defina o número do agrupador",OFFSET(EVENTOS!$D$14,$A68,0)),OFFSET($F$15,$A68,0)))</f>
        <v>GRADIL METÁLICO</v>
      </c>
      <c r="O68" s="178"/>
      <c r="Q68" s="178"/>
      <c r="R68" s="179"/>
      <c r="S68" s="179"/>
      <c r="T68" s="179"/>
      <c r="U68" s="179"/>
      <c r="V68" s="179"/>
      <c r="W68" s="179"/>
      <c r="X68" s="179"/>
      <c r="Y68" s="179"/>
      <c r="Z68" s="180"/>
      <c r="AB68" s="544">
        <f ca="1">IF(AND($D68="Serviço",AB$12&lt;&gt;0,$H68&gt;0,OR(AUTOEVENTO&lt;&gt;"manual",$M68&lt;&gt;1)),
IF(Import.TipoArredondamento&lt;&gt;"TransfereGOV",
ROUND(OFFSET($P68,0,AB$13),15-13*ORÇAMENTO!$AF$7)/$H68*OFFSET(ORÇAMENTO!$X$15,ROW(AB68)-ROW(AB$15),0),
ROUND(ROUND(OFFSET($P68,0,AB$13),15-13*ORÇAMENTO!$AF$7)*OFFSET(ORÇAMENTO!$W$15,ROW(AB68)-ROW(AB$15),0),15-13*ORÇAMENTO!$AF$11)),0)</f>
        <v>0</v>
      </c>
      <c r="AC68" s="545">
        <f ca="1">IF(AND($D68="Serviço",AC$12&lt;&gt;0,$H68&gt;0,OR(AUTOEVENTO&lt;&gt;"manual",$M68&lt;&gt;1)),
IF(Import.TipoArredondamento&lt;&gt;"TransfereGOV",
ROUND(OFFSET($P68,0,AC$13),15-13*ORÇAMENTO!$AF$7)/$H68*OFFSET(ORÇAMENTO!$X$15,ROW(AC68)-ROW(AC$15),0),
ROUND(ROUND(OFFSET($P68,0,AC$13),15-13*ORÇAMENTO!$AF$7)*OFFSET(ORÇAMENTO!$W$15,ROW(AC68)-ROW(AC$15),0),15-13*ORÇAMENTO!$AF$11)),0)</f>
        <v>0</v>
      </c>
      <c r="AD68" s="545">
        <f ca="1">IF(AND($D68="Serviço",AD$12&lt;&gt;0,$H68&gt;0,OR(AUTOEVENTO&lt;&gt;"manual",$M68&lt;&gt;1)),
IF(Import.TipoArredondamento&lt;&gt;"TransfereGOV",
ROUND(OFFSET($P68,0,AD$13),15-13*ORÇAMENTO!$AF$7)/$H68*OFFSET(ORÇAMENTO!$X$15,ROW(AD68)-ROW(AD$15),0),
ROUND(ROUND(OFFSET($P68,0,AD$13),15-13*ORÇAMENTO!$AF$7)*OFFSET(ORÇAMENTO!$W$15,ROW(AD68)-ROW(AD$15),0),15-13*ORÇAMENTO!$AF$11)),0)</f>
        <v>0</v>
      </c>
      <c r="AE68" s="545">
        <f ca="1">IF(AND($D68="Serviço",AE$12&lt;&gt;0,$H68&gt;0,OR(AUTOEVENTO&lt;&gt;"manual",$M68&lt;&gt;1)),
IF(Import.TipoArredondamento&lt;&gt;"TransfereGOV",
ROUND(OFFSET($P68,0,AE$13),15-13*ORÇAMENTO!$AF$7)/$H68*OFFSET(ORÇAMENTO!$X$15,ROW(AE68)-ROW(AE$15),0),
ROUND(ROUND(OFFSET($P68,0,AE$13),15-13*ORÇAMENTO!$AF$7)*OFFSET(ORÇAMENTO!$W$15,ROW(AE68)-ROW(AE$15),0),15-13*ORÇAMENTO!$AF$11)),0)</f>
        <v>0</v>
      </c>
      <c r="AF68" s="545">
        <f ca="1">IF(AND($D68="Serviço",AF$12&lt;&gt;0,$H68&gt;0,OR(AUTOEVENTO&lt;&gt;"manual",$M68&lt;&gt;1)),
IF(Import.TipoArredondamento&lt;&gt;"TransfereGOV",
ROUND(OFFSET($P68,0,AF$13),15-13*ORÇAMENTO!$AF$7)/$H68*OFFSET(ORÇAMENTO!$X$15,ROW(AF68)-ROW(AF$15),0),
ROUND(ROUND(OFFSET($P68,0,AF$13),15-13*ORÇAMENTO!$AF$7)*OFFSET(ORÇAMENTO!$W$15,ROW(AF68)-ROW(AF$15),0),15-13*ORÇAMENTO!$AF$11)),0)</f>
        <v>0</v>
      </c>
      <c r="AG68" s="545">
        <f ca="1">IF(AND($D68="Serviço",AG$12&lt;&gt;0,$H68&gt;0,OR(AUTOEVENTO&lt;&gt;"manual",$M68&lt;&gt;1)),
IF(Import.TipoArredondamento&lt;&gt;"TransfereGOV",
ROUND(OFFSET($P68,0,AG$13),15-13*ORÇAMENTO!$AF$7)/$H68*OFFSET(ORÇAMENTO!$X$15,ROW(AG68)-ROW(AG$15),0),
ROUND(ROUND(OFFSET($P68,0,AG$13),15-13*ORÇAMENTO!$AF$7)*OFFSET(ORÇAMENTO!$W$15,ROW(AG68)-ROW(AG$15),0),15-13*ORÇAMENTO!$AF$11)),0)</f>
        <v>0</v>
      </c>
      <c r="AH68" s="545">
        <f ca="1">IF(AND($D68="Serviço",AH$12&lt;&gt;0,$H68&gt;0,OR(AUTOEVENTO&lt;&gt;"manual",$M68&lt;&gt;1)),
IF(Import.TipoArredondamento&lt;&gt;"TransfereGOV",
ROUND(OFFSET($P68,0,AH$13),15-13*ORÇAMENTO!$AF$7)/$H68*OFFSET(ORÇAMENTO!$X$15,ROW(AH68)-ROW(AH$15),0),
ROUND(ROUND(OFFSET($P68,0,AH$13),15-13*ORÇAMENTO!$AF$7)*OFFSET(ORÇAMENTO!$W$15,ROW(AH68)-ROW(AH$15),0),15-13*ORÇAMENTO!$AF$11)),0)</f>
        <v>0</v>
      </c>
      <c r="AI68" s="545">
        <f ca="1">IF(AND($D68="Serviço",AI$12&lt;&gt;0,$H68&gt;0,OR(AUTOEVENTO&lt;&gt;"manual",$M68&lt;&gt;1)),
IF(Import.TipoArredondamento&lt;&gt;"TransfereGOV",
ROUND(OFFSET($P68,0,AI$13),15-13*ORÇAMENTO!$AF$7)/$H68*OFFSET(ORÇAMENTO!$X$15,ROW(AI68)-ROW(AI$15),0),
ROUND(ROUND(OFFSET($P68,0,AI$13),15-13*ORÇAMENTO!$AF$7)*OFFSET(ORÇAMENTO!$W$15,ROW(AI68)-ROW(AI$15),0),15-13*ORÇAMENTO!$AF$11)),0)</f>
        <v>0</v>
      </c>
      <c r="AJ68" s="545">
        <f ca="1">IF(AND($D68="Serviço",AJ$12&lt;&gt;0,$H68&gt;0,OR(AUTOEVENTO&lt;&gt;"manual",$M68&lt;&gt;1)),
IF(Import.TipoArredondamento&lt;&gt;"TransfereGOV",
ROUND(OFFSET($P68,0,AJ$13),15-13*ORÇAMENTO!$AF$7)/$H68*OFFSET(ORÇAMENTO!$X$15,ROW(AJ68)-ROW(AJ$15),0),
ROUND(ROUND(OFFSET($P68,0,AJ$13),15-13*ORÇAMENTO!$AF$7)*OFFSET(ORÇAMENTO!$W$15,ROW(AJ68)-ROW(AJ$15),0),15-13*ORÇAMENTO!$AF$11)),0)</f>
        <v>0</v>
      </c>
      <c r="AK68" s="546">
        <f ca="1">IF(AND($D68="Serviço",AK$12&lt;&gt;0,$H68&gt;0,OR(AUTOEVENTO&lt;&gt;"manual",$M68&lt;&gt;1)),
IF(Import.TipoArredondamento&lt;&gt;"TransfereGOV",
ROUND(OFFSET($P68,0,AK$13),15-13*ORÇAMENTO!$AF$7)/$H68*OFFSET(ORÇAMENTO!$X$15,ROW(AK68)-ROW(AK$15),0),
ROUND(ROUND(OFFSET($P68,0,AK$13),15-13*ORÇAMENTO!$AF$7)*OFFSET(ORÇAMENTO!$W$15,ROW(AK68)-ROW(AK$15),0),15-13*ORÇAMENTO!$AF$11)),0)</f>
        <v>0</v>
      </c>
      <c r="AM68" s="181">
        <f ca="1">IF($D68&lt;&gt;"Serviço",0,IF(AND(AUTOEVENTO="Manual",$M68=1),0,IF(OFFSET(CRONOPLE!$F$14,$M68,AM$13)="",10^12,OFFSET(CRONOPLE!$F$14,$M68,AM$13))))</f>
        <v>1000000000000</v>
      </c>
      <c r="AN68" s="181">
        <f ca="1">IF($D68&lt;&gt;"Serviço",0,IF(AND(AUTOEVENTO="Manual",$M68=1),0,IF(OFFSET(CRONOPLE!$F$14,$M68,AN$13)="",10^12,OFFSET(CRONOPLE!$F$14,$M68,AN$13))))</f>
        <v>1000000000000</v>
      </c>
      <c r="AO68" s="181">
        <f ca="1">IF($D68&lt;&gt;"Serviço",0,IF(AND(AUTOEVENTO="Manual",$M68=1),0,IF(OFFSET(CRONOPLE!$F$14,$M68,AO$13)="",10^12,OFFSET(CRONOPLE!$F$14,$M68,AO$13))))</f>
        <v>1000000000000</v>
      </c>
      <c r="AP68" s="181">
        <f ca="1">IF($D68&lt;&gt;"Serviço",0,IF(AND(AUTOEVENTO="Manual",$M68=1),0,IF(OFFSET(CRONOPLE!$F$14,$M68,AP$13)="",10^12,OFFSET(CRONOPLE!$F$14,$M68,AP$13))))</f>
        <v>1000000000000</v>
      </c>
      <c r="AQ68" s="181">
        <f ca="1">IF($D68&lt;&gt;"Serviço",0,IF(AND(AUTOEVENTO="Manual",$M68=1),0,IF(OFFSET(CRONOPLE!$F$14,$M68,AQ$13)="",10^12,OFFSET(CRONOPLE!$F$14,$M68,AQ$13))))</f>
        <v>1000000000000</v>
      </c>
      <c r="AR68" s="181">
        <f ca="1">IF($D68&lt;&gt;"Serviço",0,IF(AND(AUTOEVENTO="Manual",$M68=1),0,IF(OFFSET(CRONOPLE!$F$14,$M68,AR$13)="",10^12,OFFSET(CRONOPLE!$F$14,$M68,AR$13))))</f>
        <v>1000000000000</v>
      </c>
      <c r="AS68" s="181">
        <f ca="1">IF($D68&lt;&gt;"Serviço",0,IF(AND(AUTOEVENTO="Manual",$M68=1),0,IF(OFFSET(CRONOPLE!$F$14,$M68,AS$13)="",10^12,OFFSET(CRONOPLE!$F$14,$M68,AS$13))))</f>
        <v>1000000000000</v>
      </c>
      <c r="AT68" s="181">
        <f ca="1">IF($D68&lt;&gt;"Serviço",0,IF(AND(AUTOEVENTO="Manual",$M68=1),0,IF(OFFSET(CRONOPLE!$F$14,$M68,AT$13)="",10^12,OFFSET(CRONOPLE!$F$14,$M68,AT$13))))</f>
        <v>1000000000000</v>
      </c>
      <c r="AU68" s="181">
        <f ca="1">IF($D68&lt;&gt;"Serviço",0,IF(AND(AUTOEVENTO="Manual",$M68=1),0,IF(OFFSET(CRONOPLE!$F$14,$M68,AU$13)="",10^12,OFFSET(CRONOPLE!$F$14,$M68,AU$13))))</f>
        <v>1000000000000</v>
      </c>
      <c r="AV68" s="181">
        <f ca="1">IF($D68&lt;&gt;"Serviço",0,IF(AND(AUTOEVENTO="Manual",$M68=1),0,IF(OFFSET(CRONOPLE!$F$14,$M68,AV$13)="",10^12,OFFSET(CRONOPLE!$F$14,$M68,AV$13))))</f>
        <v>1000000000000</v>
      </c>
      <c r="AX68" s="182">
        <f ca="1">IF($D68&lt;&gt;"Serviço",0,IF(OR(AND(AUTOEVENTO="Manual",$M68=1),$M68&gt;(ROW(PLE.lastrow)-ROW(PLE.firstrow))),0,IF(OFFSET(PLE!$G$14,$M68,AX$13)="",10^12,OFFSET(PLE!$G$14,$M68,AX$13))))</f>
        <v>1000000000000</v>
      </c>
      <c r="AY68" s="182">
        <f ca="1">IF($D68&lt;&gt;"Serviço",0,IF(OR(AND(AUTOEVENTO="Manual",$M68=1),$M68&gt;(ROW(PLE.lastrow)-ROW(PLE.firstrow))),0,IF(OFFSET(PLE!$G$14,$M68,AY$13)="",10^12,OFFSET(PLE!$G$14,$M68,AY$13))))</f>
        <v>1000000000000</v>
      </c>
      <c r="AZ68" s="182">
        <f ca="1">IF($D68&lt;&gt;"Serviço",0,IF(OR(AND(AUTOEVENTO="Manual",$M68=1),$M68&gt;(ROW(PLE.lastrow)-ROW(PLE.firstrow))),0,IF(OFFSET(PLE!$G$14,$M68,AZ$13)="",10^12,OFFSET(PLE!$G$14,$M68,AZ$13))))</f>
        <v>1000000000000</v>
      </c>
      <c r="BA68" s="182">
        <f ca="1">IF($D68&lt;&gt;"Serviço",0,IF(OR(AND(AUTOEVENTO="Manual",$M68=1),$M68&gt;(ROW(PLE.lastrow)-ROW(PLE.firstrow))),0,IF(OFFSET(PLE!$G$14,$M68,BA$13)="",10^12,OFFSET(PLE!$G$14,$M68,BA$13))))</f>
        <v>1000000000000</v>
      </c>
      <c r="BB68" s="182">
        <f ca="1">IF($D68&lt;&gt;"Serviço",0,IF(OR(AND(AUTOEVENTO="Manual",$M68=1),$M68&gt;(ROW(PLE.lastrow)-ROW(PLE.firstrow))),0,IF(OFFSET(PLE!$G$14,$M68,BB$13)="",10^12,OFFSET(PLE!$G$14,$M68,BB$13))))</f>
        <v>1000000000000</v>
      </c>
      <c r="BC68" s="182">
        <f ca="1">IF($D68&lt;&gt;"Serviço",0,IF(OR(AND(AUTOEVENTO="Manual",$M68=1),$M68&gt;(ROW(PLE.lastrow)-ROW(PLE.firstrow))),0,IF(OFFSET(PLE!$G$14,$M68,BC$13)="",10^12,OFFSET(PLE!$G$14,$M68,BC$13))))</f>
        <v>1000000000000</v>
      </c>
      <c r="BD68" s="182">
        <f ca="1">IF($D68&lt;&gt;"Serviço",0,IF(OR(AND(AUTOEVENTO="Manual",$M68=1),$M68&gt;(ROW(PLE.lastrow)-ROW(PLE.firstrow))),0,IF(OFFSET(PLE!$G$14,$M68,BD$13)="",10^12,OFFSET(PLE!$G$14,$M68,BD$13))))</f>
        <v>1000000000000</v>
      </c>
      <c r="BE68" s="182">
        <f ca="1">IF($D68&lt;&gt;"Serviço",0,IF(OR(AND(AUTOEVENTO="Manual",$M68=1),$M68&gt;(ROW(PLE.lastrow)-ROW(PLE.firstrow))),0,IF(OFFSET(PLE!$G$14,$M68,BE$13)="",10^12,OFFSET(PLE!$G$14,$M68,BE$13))))</f>
        <v>1000000000000</v>
      </c>
      <c r="BF68" s="182">
        <f ca="1">IF($D68&lt;&gt;"Serviço",0,IF(OR(AND(AUTOEVENTO="Manual",$M68=1),$M68&gt;(ROW(PLE.lastrow)-ROW(PLE.firstrow))),0,IF(OFFSET(PLE!$G$14,$M68,BF$13)="",10^12,OFFSET(PLE!$G$14,$M68,BF$13))))</f>
        <v>1000000000000</v>
      </c>
      <c r="BG68" s="182">
        <f ca="1">IF($D68&lt;&gt;"Serviço",0,IF(OR(AND(AUTOEVENTO="Manual",$M68=1),$M68&gt;(ROW(PLE.lastrow)-ROW(PLE.firstrow))),0,IF(OFFSET(PLE!$G$14,$M68,BG$13)="",10^12,OFFSET(PLE!$G$14,$M68,BG$13))))</f>
        <v>1000000000000</v>
      </c>
    </row>
    <row r="69" spans="1:59" ht="25.5" x14ac:dyDescent="0.2">
      <c r="A69" s="7" t="str">
        <f t="shared" ca="1" si="10"/>
        <v>52</v>
      </c>
      <c r="B69" s="7" t="str">
        <f ca="1">OFFSET(ORÇAMENTO!C$15,ROW(B69)-ROW(B$15),0)</f>
        <v>S</v>
      </c>
      <c r="C69" s="7" t="str">
        <f ca="1">OFFSET(ORÇAMENTO!L$15,ROW(C69)-ROW(C$15),0)</f>
        <v>F</v>
      </c>
      <c r="D69" s="118" t="str">
        <f ca="1">OFFSET(ORÇAMENTO!N$15,ROW(D69)-ROW(D$15),0)</f>
        <v>Serviço</v>
      </c>
      <c r="E69" s="119" t="str">
        <f ca="1">OFFSET(ORÇAMENTO!O$15,ROW(E69)-ROW(E$15),0)</f>
        <v>4.4.2.</v>
      </c>
      <c r="F69" s="172" t="str">
        <f ca="1">OFFSET(ORÇAMENTO!R$15,ROW(F69)-ROW(F$15),0)</f>
        <v>GRADIL EM AÇO FIXADO EM VÃOS DE JANELAS, FORMADO POR BARRAS CHATAS DE 25X4,8 MM. AF_10/2025</v>
      </c>
      <c r="G69" s="173" t="str">
        <f ca="1">IF($D69&lt;&gt;"Serviço","",OFFSET(ORÇAMENTO!S$15,ROW(G69)-ROW(G$15),0))</f>
        <v>M2</v>
      </c>
      <c r="H69" s="124">
        <f ca="1">IF($D69&lt;&gt;"Serviço",0,IF(ACOMPANHAMENTO="BM",ROUND(OFFSET(ORÇAMENTO!AJ$15,ROW(H69)-ROW(H$15),0),15-13*ORÇAMENTO!$AF$7),SUMPRODUCT(($Q$12:$AA$12&lt;&gt;"")*ROUND($Q69:$AA69,15-13*ORÇAMENTO!$AF$7))))</f>
        <v>11.42</v>
      </c>
      <c r="I69" s="561"/>
      <c r="K69" s="174"/>
      <c r="L69" s="175" t="s">
        <v>255</v>
      </c>
      <c r="M69" s="176">
        <f ca="1">IF($D69&lt;&gt;"Serviço","",IF(AUTOEVENTO="manual",$A69,IF(ISERROR(MATCH($A69,$A$15:OFFSET($A69,-1,0),0)),MAX($M$15:OFFSET(M69,-1,0))+1,INDEX($M$15:OFFSET(M69,-1,0),MATCH($A69,$A$15:OFFSET($A69,-1,0),0)))))</f>
        <v>11</v>
      </c>
      <c r="N69" s="177" t="str">
        <f ca="1">IF($D69&lt;&gt;"Serviço","",IF(AUTOEVENTO="Manual",IF($A69=0,"&lt;-- defina o número do agrupador",OFFSET(EVENTOS!$D$14,$A69,0)),OFFSET($F$15,$A69,0)))</f>
        <v>GRADIL METÁLICO</v>
      </c>
      <c r="O69" s="178"/>
      <c r="Q69" s="178"/>
      <c r="R69" s="179"/>
      <c r="S69" s="179"/>
      <c r="T69" s="179"/>
      <c r="U69" s="179"/>
      <c r="V69" s="179"/>
      <c r="W69" s="179"/>
      <c r="X69" s="179"/>
      <c r="Y69" s="179"/>
      <c r="Z69" s="180"/>
      <c r="AB69" s="544">
        <f ca="1">IF(AND($D69="Serviço",AB$12&lt;&gt;0,$H69&gt;0,OR(AUTOEVENTO&lt;&gt;"manual",$M69&lt;&gt;1)),
IF(Import.TipoArredondamento&lt;&gt;"TransfereGOV",
ROUND(OFFSET($P69,0,AB$13),15-13*ORÇAMENTO!$AF$7)/$H69*OFFSET(ORÇAMENTO!$X$15,ROW(AB69)-ROW(AB$15),0),
ROUND(ROUND(OFFSET($P69,0,AB$13),15-13*ORÇAMENTO!$AF$7)*OFFSET(ORÇAMENTO!$W$15,ROW(AB69)-ROW(AB$15),0),15-13*ORÇAMENTO!$AF$11)),0)</f>
        <v>0</v>
      </c>
      <c r="AC69" s="545">
        <f ca="1">IF(AND($D69="Serviço",AC$12&lt;&gt;0,$H69&gt;0,OR(AUTOEVENTO&lt;&gt;"manual",$M69&lt;&gt;1)),
IF(Import.TipoArredondamento&lt;&gt;"TransfereGOV",
ROUND(OFFSET($P69,0,AC$13),15-13*ORÇAMENTO!$AF$7)/$H69*OFFSET(ORÇAMENTO!$X$15,ROW(AC69)-ROW(AC$15),0),
ROUND(ROUND(OFFSET($P69,0,AC$13),15-13*ORÇAMENTO!$AF$7)*OFFSET(ORÇAMENTO!$W$15,ROW(AC69)-ROW(AC$15),0),15-13*ORÇAMENTO!$AF$11)),0)</f>
        <v>0</v>
      </c>
      <c r="AD69" s="545">
        <f ca="1">IF(AND($D69="Serviço",AD$12&lt;&gt;0,$H69&gt;0,OR(AUTOEVENTO&lt;&gt;"manual",$M69&lt;&gt;1)),
IF(Import.TipoArredondamento&lt;&gt;"TransfereGOV",
ROUND(OFFSET($P69,0,AD$13),15-13*ORÇAMENTO!$AF$7)/$H69*OFFSET(ORÇAMENTO!$X$15,ROW(AD69)-ROW(AD$15),0),
ROUND(ROUND(OFFSET($P69,0,AD$13),15-13*ORÇAMENTO!$AF$7)*OFFSET(ORÇAMENTO!$W$15,ROW(AD69)-ROW(AD$15),0),15-13*ORÇAMENTO!$AF$11)),0)</f>
        <v>0</v>
      </c>
      <c r="AE69" s="545">
        <f ca="1">IF(AND($D69="Serviço",AE$12&lt;&gt;0,$H69&gt;0,OR(AUTOEVENTO&lt;&gt;"manual",$M69&lt;&gt;1)),
IF(Import.TipoArredondamento&lt;&gt;"TransfereGOV",
ROUND(OFFSET($P69,0,AE$13),15-13*ORÇAMENTO!$AF$7)/$H69*OFFSET(ORÇAMENTO!$X$15,ROW(AE69)-ROW(AE$15),0),
ROUND(ROUND(OFFSET($P69,0,AE$13),15-13*ORÇAMENTO!$AF$7)*OFFSET(ORÇAMENTO!$W$15,ROW(AE69)-ROW(AE$15),0),15-13*ORÇAMENTO!$AF$11)),0)</f>
        <v>0</v>
      </c>
      <c r="AF69" s="545">
        <f ca="1">IF(AND($D69="Serviço",AF$12&lt;&gt;0,$H69&gt;0,OR(AUTOEVENTO&lt;&gt;"manual",$M69&lt;&gt;1)),
IF(Import.TipoArredondamento&lt;&gt;"TransfereGOV",
ROUND(OFFSET($P69,0,AF$13),15-13*ORÇAMENTO!$AF$7)/$H69*OFFSET(ORÇAMENTO!$X$15,ROW(AF69)-ROW(AF$15),0),
ROUND(ROUND(OFFSET($P69,0,AF$13),15-13*ORÇAMENTO!$AF$7)*OFFSET(ORÇAMENTO!$W$15,ROW(AF69)-ROW(AF$15),0),15-13*ORÇAMENTO!$AF$11)),0)</f>
        <v>0</v>
      </c>
      <c r="AG69" s="545">
        <f ca="1">IF(AND($D69="Serviço",AG$12&lt;&gt;0,$H69&gt;0,OR(AUTOEVENTO&lt;&gt;"manual",$M69&lt;&gt;1)),
IF(Import.TipoArredondamento&lt;&gt;"TransfereGOV",
ROUND(OFFSET($P69,0,AG$13),15-13*ORÇAMENTO!$AF$7)/$H69*OFFSET(ORÇAMENTO!$X$15,ROW(AG69)-ROW(AG$15),0),
ROUND(ROUND(OFFSET($P69,0,AG$13),15-13*ORÇAMENTO!$AF$7)*OFFSET(ORÇAMENTO!$W$15,ROW(AG69)-ROW(AG$15),0),15-13*ORÇAMENTO!$AF$11)),0)</f>
        <v>0</v>
      </c>
      <c r="AH69" s="545">
        <f ca="1">IF(AND($D69="Serviço",AH$12&lt;&gt;0,$H69&gt;0,OR(AUTOEVENTO&lt;&gt;"manual",$M69&lt;&gt;1)),
IF(Import.TipoArredondamento&lt;&gt;"TransfereGOV",
ROUND(OFFSET($P69,0,AH$13),15-13*ORÇAMENTO!$AF$7)/$H69*OFFSET(ORÇAMENTO!$X$15,ROW(AH69)-ROW(AH$15),0),
ROUND(ROUND(OFFSET($P69,0,AH$13),15-13*ORÇAMENTO!$AF$7)*OFFSET(ORÇAMENTO!$W$15,ROW(AH69)-ROW(AH$15),0),15-13*ORÇAMENTO!$AF$11)),0)</f>
        <v>0</v>
      </c>
      <c r="AI69" s="545">
        <f ca="1">IF(AND($D69="Serviço",AI$12&lt;&gt;0,$H69&gt;0,OR(AUTOEVENTO&lt;&gt;"manual",$M69&lt;&gt;1)),
IF(Import.TipoArredondamento&lt;&gt;"TransfereGOV",
ROUND(OFFSET($P69,0,AI$13),15-13*ORÇAMENTO!$AF$7)/$H69*OFFSET(ORÇAMENTO!$X$15,ROW(AI69)-ROW(AI$15),0),
ROUND(ROUND(OFFSET($P69,0,AI$13),15-13*ORÇAMENTO!$AF$7)*OFFSET(ORÇAMENTO!$W$15,ROW(AI69)-ROW(AI$15),0),15-13*ORÇAMENTO!$AF$11)),0)</f>
        <v>0</v>
      </c>
      <c r="AJ69" s="545">
        <f ca="1">IF(AND($D69="Serviço",AJ$12&lt;&gt;0,$H69&gt;0,OR(AUTOEVENTO&lt;&gt;"manual",$M69&lt;&gt;1)),
IF(Import.TipoArredondamento&lt;&gt;"TransfereGOV",
ROUND(OFFSET($P69,0,AJ$13),15-13*ORÇAMENTO!$AF$7)/$H69*OFFSET(ORÇAMENTO!$X$15,ROW(AJ69)-ROW(AJ$15),0),
ROUND(ROUND(OFFSET($P69,0,AJ$13),15-13*ORÇAMENTO!$AF$7)*OFFSET(ORÇAMENTO!$W$15,ROW(AJ69)-ROW(AJ$15),0),15-13*ORÇAMENTO!$AF$11)),0)</f>
        <v>0</v>
      </c>
      <c r="AK69" s="546">
        <f ca="1">IF(AND($D69="Serviço",AK$12&lt;&gt;0,$H69&gt;0,OR(AUTOEVENTO&lt;&gt;"manual",$M69&lt;&gt;1)),
IF(Import.TipoArredondamento&lt;&gt;"TransfereGOV",
ROUND(OFFSET($P69,0,AK$13),15-13*ORÇAMENTO!$AF$7)/$H69*OFFSET(ORÇAMENTO!$X$15,ROW(AK69)-ROW(AK$15),0),
ROUND(ROUND(OFFSET($P69,0,AK$13),15-13*ORÇAMENTO!$AF$7)*OFFSET(ORÇAMENTO!$W$15,ROW(AK69)-ROW(AK$15),0),15-13*ORÇAMENTO!$AF$11)),0)</f>
        <v>0</v>
      </c>
      <c r="AM69" s="181">
        <f ca="1">IF($D69&lt;&gt;"Serviço",0,IF(AND(AUTOEVENTO="Manual",$M69=1),0,IF(OFFSET(CRONOPLE!$F$14,$M69,AM$13)="",10^12,OFFSET(CRONOPLE!$F$14,$M69,AM$13))))</f>
        <v>1000000000000</v>
      </c>
      <c r="AN69" s="181">
        <f ca="1">IF($D69&lt;&gt;"Serviço",0,IF(AND(AUTOEVENTO="Manual",$M69=1),0,IF(OFFSET(CRONOPLE!$F$14,$M69,AN$13)="",10^12,OFFSET(CRONOPLE!$F$14,$M69,AN$13))))</f>
        <v>1000000000000</v>
      </c>
      <c r="AO69" s="181">
        <f ca="1">IF($D69&lt;&gt;"Serviço",0,IF(AND(AUTOEVENTO="Manual",$M69=1),0,IF(OFFSET(CRONOPLE!$F$14,$M69,AO$13)="",10^12,OFFSET(CRONOPLE!$F$14,$M69,AO$13))))</f>
        <v>1000000000000</v>
      </c>
      <c r="AP69" s="181">
        <f ca="1">IF($D69&lt;&gt;"Serviço",0,IF(AND(AUTOEVENTO="Manual",$M69=1),0,IF(OFFSET(CRONOPLE!$F$14,$M69,AP$13)="",10^12,OFFSET(CRONOPLE!$F$14,$M69,AP$13))))</f>
        <v>1000000000000</v>
      </c>
      <c r="AQ69" s="181">
        <f ca="1">IF($D69&lt;&gt;"Serviço",0,IF(AND(AUTOEVENTO="Manual",$M69=1),0,IF(OFFSET(CRONOPLE!$F$14,$M69,AQ$13)="",10^12,OFFSET(CRONOPLE!$F$14,$M69,AQ$13))))</f>
        <v>1000000000000</v>
      </c>
      <c r="AR69" s="181">
        <f ca="1">IF($D69&lt;&gt;"Serviço",0,IF(AND(AUTOEVENTO="Manual",$M69=1),0,IF(OFFSET(CRONOPLE!$F$14,$M69,AR$13)="",10^12,OFFSET(CRONOPLE!$F$14,$M69,AR$13))))</f>
        <v>1000000000000</v>
      </c>
      <c r="AS69" s="181">
        <f ca="1">IF($D69&lt;&gt;"Serviço",0,IF(AND(AUTOEVENTO="Manual",$M69=1),0,IF(OFFSET(CRONOPLE!$F$14,$M69,AS$13)="",10^12,OFFSET(CRONOPLE!$F$14,$M69,AS$13))))</f>
        <v>1000000000000</v>
      </c>
      <c r="AT69" s="181">
        <f ca="1">IF($D69&lt;&gt;"Serviço",0,IF(AND(AUTOEVENTO="Manual",$M69=1),0,IF(OFFSET(CRONOPLE!$F$14,$M69,AT$13)="",10^12,OFFSET(CRONOPLE!$F$14,$M69,AT$13))))</f>
        <v>1000000000000</v>
      </c>
      <c r="AU69" s="181">
        <f ca="1">IF($D69&lt;&gt;"Serviço",0,IF(AND(AUTOEVENTO="Manual",$M69=1),0,IF(OFFSET(CRONOPLE!$F$14,$M69,AU$13)="",10^12,OFFSET(CRONOPLE!$F$14,$M69,AU$13))))</f>
        <v>1000000000000</v>
      </c>
      <c r="AV69" s="181">
        <f ca="1">IF($D69&lt;&gt;"Serviço",0,IF(AND(AUTOEVENTO="Manual",$M69=1),0,IF(OFFSET(CRONOPLE!$F$14,$M69,AV$13)="",10^12,OFFSET(CRONOPLE!$F$14,$M69,AV$13))))</f>
        <v>1000000000000</v>
      </c>
      <c r="AX69" s="182">
        <f ca="1">IF($D69&lt;&gt;"Serviço",0,IF(OR(AND(AUTOEVENTO="Manual",$M69=1),$M69&gt;(ROW(PLE.lastrow)-ROW(PLE.firstrow))),0,IF(OFFSET(PLE!$G$14,$M69,AX$13)="",10^12,OFFSET(PLE!$G$14,$M69,AX$13))))</f>
        <v>1000000000000</v>
      </c>
      <c r="AY69" s="182">
        <f ca="1">IF($D69&lt;&gt;"Serviço",0,IF(OR(AND(AUTOEVENTO="Manual",$M69=1),$M69&gt;(ROW(PLE.lastrow)-ROW(PLE.firstrow))),0,IF(OFFSET(PLE!$G$14,$M69,AY$13)="",10^12,OFFSET(PLE!$G$14,$M69,AY$13))))</f>
        <v>1000000000000</v>
      </c>
      <c r="AZ69" s="182">
        <f ca="1">IF($D69&lt;&gt;"Serviço",0,IF(OR(AND(AUTOEVENTO="Manual",$M69=1),$M69&gt;(ROW(PLE.lastrow)-ROW(PLE.firstrow))),0,IF(OFFSET(PLE!$G$14,$M69,AZ$13)="",10^12,OFFSET(PLE!$G$14,$M69,AZ$13))))</f>
        <v>1000000000000</v>
      </c>
      <c r="BA69" s="182">
        <f ca="1">IF($D69&lt;&gt;"Serviço",0,IF(OR(AND(AUTOEVENTO="Manual",$M69=1),$M69&gt;(ROW(PLE.lastrow)-ROW(PLE.firstrow))),0,IF(OFFSET(PLE!$G$14,$M69,BA$13)="",10^12,OFFSET(PLE!$G$14,$M69,BA$13))))</f>
        <v>1000000000000</v>
      </c>
      <c r="BB69" s="182">
        <f ca="1">IF($D69&lt;&gt;"Serviço",0,IF(OR(AND(AUTOEVENTO="Manual",$M69=1),$M69&gt;(ROW(PLE.lastrow)-ROW(PLE.firstrow))),0,IF(OFFSET(PLE!$G$14,$M69,BB$13)="",10^12,OFFSET(PLE!$G$14,$M69,BB$13))))</f>
        <v>1000000000000</v>
      </c>
      <c r="BC69" s="182">
        <f ca="1">IF($D69&lt;&gt;"Serviço",0,IF(OR(AND(AUTOEVENTO="Manual",$M69=1),$M69&gt;(ROW(PLE.lastrow)-ROW(PLE.firstrow))),0,IF(OFFSET(PLE!$G$14,$M69,BC$13)="",10^12,OFFSET(PLE!$G$14,$M69,BC$13))))</f>
        <v>1000000000000</v>
      </c>
      <c r="BD69" s="182">
        <f ca="1">IF($D69&lt;&gt;"Serviço",0,IF(OR(AND(AUTOEVENTO="Manual",$M69=1),$M69&gt;(ROW(PLE.lastrow)-ROW(PLE.firstrow))),0,IF(OFFSET(PLE!$G$14,$M69,BD$13)="",10^12,OFFSET(PLE!$G$14,$M69,BD$13))))</f>
        <v>1000000000000</v>
      </c>
      <c r="BE69" s="182">
        <f ca="1">IF($D69&lt;&gt;"Serviço",0,IF(OR(AND(AUTOEVENTO="Manual",$M69=1),$M69&gt;(ROW(PLE.lastrow)-ROW(PLE.firstrow))),0,IF(OFFSET(PLE!$G$14,$M69,BE$13)="",10^12,OFFSET(PLE!$G$14,$M69,BE$13))))</f>
        <v>1000000000000</v>
      </c>
      <c r="BF69" s="182">
        <f ca="1">IF($D69&lt;&gt;"Serviço",0,IF(OR(AND(AUTOEVENTO="Manual",$M69=1),$M69&gt;(ROW(PLE.lastrow)-ROW(PLE.firstrow))),0,IF(OFFSET(PLE!$G$14,$M69,BF$13)="",10^12,OFFSET(PLE!$G$14,$M69,BF$13))))</f>
        <v>1000000000000</v>
      </c>
      <c r="BG69" s="182">
        <f ca="1">IF($D69&lt;&gt;"Serviço",0,IF(OR(AND(AUTOEVENTO="Manual",$M69=1),$M69&gt;(ROW(PLE.lastrow)-ROW(PLE.firstrow))),0,IF(OFFSET(PLE!$G$14,$M69,BG$13)="",10^12,OFFSET(PLE!$G$14,$M69,BG$13))))</f>
        <v>1000000000000</v>
      </c>
    </row>
    <row r="70" spans="1:59" ht="12.75" x14ac:dyDescent="0.2">
      <c r="A70" s="7" t="str">
        <f t="shared" ca="1" si="8"/>
        <v>55.</v>
      </c>
      <c r="B70" s="7">
        <f ca="1">OFFSET(ORÇAMENTO!C$15,ROW(B70)-ROW(B$15),0)</f>
        <v>1</v>
      </c>
      <c r="C70" s="7" t="str">
        <f ca="1">OFFSET(ORÇAMENTO!L$15,ROW(C70)-ROW(C$15),0)</f>
        <v>F</v>
      </c>
      <c r="D70" s="118" t="str">
        <f ca="1">OFFSET(ORÇAMENTO!N$15,ROW(D70)-ROW(D$15),0)</f>
        <v>Meta</v>
      </c>
      <c r="E70" s="119" t="str">
        <f ca="1">OFFSET(ORÇAMENTO!O$15,ROW(E70)-ROW(E$15),0)</f>
        <v>5.</v>
      </c>
      <c r="F70" s="172" t="str">
        <f ca="1">OFFSET(ORÇAMENTO!R$15,ROW(F70)-ROW(F$15),0)</f>
        <v xml:space="preserve">COBERTURA </v>
      </c>
      <c r="G70" s="173" t="str">
        <f ca="1">IF($D70&lt;&gt;"Serviço","",OFFSET(ORÇAMENTO!S$15,ROW(G70)-ROW(G$15),0))</f>
        <v/>
      </c>
      <c r="H70" s="124">
        <f ca="1">IF($D70&lt;&gt;"Serviço",0,IF(ACOMPANHAMENTO="BM",ROUND(OFFSET(ORÇAMENTO!AJ$15,ROW(H70)-ROW(H$15),0),15-13*ORÇAMENTO!$AF$7),SUMPRODUCT(($Q$12:$AA$12&lt;&gt;"")*ROUND($Q70:$AA70,15-13*ORÇAMENTO!$AF$7))))</f>
        <v>0</v>
      </c>
      <c r="I70" s="561"/>
      <c r="K70" s="174"/>
      <c r="L70" s="175" t="s">
        <v>255</v>
      </c>
      <c r="M70" s="176" t="str">
        <f ca="1">IF($D70&lt;&gt;"Serviço","",IF(AUTOEVENTO="manual",$A70,IF(ISERROR(MATCH($A70,$A$15:OFFSET($A70,-1,0),0)),MAX($M$15:OFFSET(M70,-1,0))+1,INDEX($M$15:OFFSET(M70,-1,0),MATCH($A70,$A$15:OFFSET($A70,-1,0),0)))))</f>
        <v/>
      </c>
      <c r="N70" s="177" t="str">
        <f ca="1">IF($D70&lt;&gt;"Serviço","",IF(AUTOEVENTO="Manual",IF($A70=0,"&lt;-- defina o número do agrupador",OFFSET(EVENTOS!$D$14,$A70,0)),OFFSET($F$15,$A70,0)))</f>
        <v/>
      </c>
      <c r="O70" s="178"/>
      <c r="Q70" s="178"/>
      <c r="R70" s="179"/>
      <c r="S70" s="179"/>
      <c r="T70" s="179"/>
      <c r="U70" s="179"/>
      <c r="V70" s="179"/>
      <c r="W70" s="179"/>
      <c r="X70" s="179"/>
      <c r="Y70" s="179"/>
      <c r="Z70" s="180"/>
      <c r="AB70" s="544">
        <f ca="1">IF(AND($D70="Serviço",AB$12&lt;&gt;0,$H70&gt;0,OR(AUTOEVENTO&lt;&gt;"manual",$M70&lt;&gt;1)),
IF(Import.TipoArredondamento&lt;&gt;"TransfereGOV",
ROUND(OFFSET($P70,0,AB$13),15-13*ORÇAMENTO!$AF$7)/$H70*OFFSET(ORÇAMENTO!$X$15,ROW(AB70)-ROW(AB$15),0),
ROUND(ROUND(OFFSET($P70,0,AB$13),15-13*ORÇAMENTO!$AF$7)*OFFSET(ORÇAMENTO!$W$15,ROW(AB70)-ROW(AB$15),0),15-13*ORÇAMENTO!$AF$11)),0)</f>
        <v>0</v>
      </c>
      <c r="AC70" s="545">
        <f ca="1">IF(AND($D70="Serviço",AC$12&lt;&gt;0,$H70&gt;0,OR(AUTOEVENTO&lt;&gt;"manual",$M70&lt;&gt;1)),
IF(Import.TipoArredondamento&lt;&gt;"TransfereGOV",
ROUND(OFFSET($P70,0,AC$13),15-13*ORÇAMENTO!$AF$7)/$H70*OFFSET(ORÇAMENTO!$X$15,ROW(AC70)-ROW(AC$15),0),
ROUND(ROUND(OFFSET($P70,0,AC$13),15-13*ORÇAMENTO!$AF$7)*OFFSET(ORÇAMENTO!$W$15,ROW(AC70)-ROW(AC$15),0),15-13*ORÇAMENTO!$AF$11)),0)</f>
        <v>0</v>
      </c>
      <c r="AD70" s="545">
        <f ca="1">IF(AND($D70="Serviço",AD$12&lt;&gt;0,$H70&gt;0,OR(AUTOEVENTO&lt;&gt;"manual",$M70&lt;&gt;1)),
IF(Import.TipoArredondamento&lt;&gt;"TransfereGOV",
ROUND(OFFSET($P70,0,AD$13),15-13*ORÇAMENTO!$AF$7)/$H70*OFFSET(ORÇAMENTO!$X$15,ROW(AD70)-ROW(AD$15),0),
ROUND(ROUND(OFFSET($P70,0,AD$13),15-13*ORÇAMENTO!$AF$7)*OFFSET(ORÇAMENTO!$W$15,ROW(AD70)-ROW(AD$15),0),15-13*ORÇAMENTO!$AF$11)),0)</f>
        <v>0</v>
      </c>
      <c r="AE70" s="545">
        <f ca="1">IF(AND($D70="Serviço",AE$12&lt;&gt;0,$H70&gt;0,OR(AUTOEVENTO&lt;&gt;"manual",$M70&lt;&gt;1)),
IF(Import.TipoArredondamento&lt;&gt;"TransfereGOV",
ROUND(OFFSET($P70,0,AE$13),15-13*ORÇAMENTO!$AF$7)/$H70*OFFSET(ORÇAMENTO!$X$15,ROW(AE70)-ROW(AE$15),0),
ROUND(ROUND(OFFSET($P70,0,AE$13),15-13*ORÇAMENTO!$AF$7)*OFFSET(ORÇAMENTO!$W$15,ROW(AE70)-ROW(AE$15),0),15-13*ORÇAMENTO!$AF$11)),0)</f>
        <v>0</v>
      </c>
      <c r="AF70" s="545">
        <f ca="1">IF(AND($D70="Serviço",AF$12&lt;&gt;0,$H70&gt;0,OR(AUTOEVENTO&lt;&gt;"manual",$M70&lt;&gt;1)),
IF(Import.TipoArredondamento&lt;&gt;"TransfereGOV",
ROUND(OFFSET($P70,0,AF$13),15-13*ORÇAMENTO!$AF$7)/$H70*OFFSET(ORÇAMENTO!$X$15,ROW(AF70)-ROW(AF$15),0),
ROUND(ROUND(OFFSET($P70,0,AF$13),15-13*ORÇAMENTO!$AF$7)*OFFSET(ORÇAMENTO!$W$15,ROW(AF70)-ROW(AF$15),0),15-13*ORÇAMENTO!$AF$11)),0)</f>
        <v>0</v>
      </c>
      <c r="AG70" s="545">
        <f ca="1">IF(AND($D70="Serviço",AG$12&lt;&gt;0,$H70&gt;0,OR(AUTOEVENTO&lt;&gt;"manual",$M70&lt;&gt;1)),
IF(Import.TipoArredondamento&lt;&gt;"TransfereGOV",
ROUND(OFFSET($P70,0,AG$13),15-13*ORÇAMENTO!$AF$7)/$H70*OFFSET(ORÇAMENTO!$X$15,ROW(AG70)-ROW(AG$15),0),
ROUND(ROUND(OFFSET($P70,0,AG$13),15-13*ORÇAMENTO!$AF$7)*OFFSET(ORÇAMENTO!$W$15,ROW(AG70)-ROW(AG$15),0),15-13*ORÇAMENTO!$AF$11)),0)</f>
        <v>0</v>
      </c>
      <c r="AH70" s="545">
        <f ca="1">IF(AND($D70="Serviço",AH$12&lt;&gt;0,$H70&gt;0,OR(AUTOEVENTO&lt;&gt;"manual",$M70&lt;&gt;1)),
IF(Import.TipoArredondamento&lt;&gt;"TransfereGOV",
ROUND(OFFSET($P70,0,AH$13),15-13*ORÇAMENTO!$AF$7)/$H70*OFFSET(ORÇAMENTO!$X$15,ROW(AH70)-ROW(AH$15),0),
ROUND(ROUND(OFFSET($P70,0,AH$13),15-13*ORÇAMENTO!$AF$7)*OFFSET(ORÇAMENTO!$W$15,ROW(AH70)-ROW(AH$15),0),15-13*ORÇAMENTO!$AF$11)),0)</f>
        <v>0</v>
      </c>
      <c r="AI70" s="545">
        <f ca="1">IF(AND($D70="Serviço",AI$12&lt;&gt;0,$H70&gt;0,OR(AUTOEVENTO&lt;&gt;"manual",$M70&lt;&gt;1)),
IF(Import.TipoArredondamento&lt;&gt;"TransfereGOV",
ROUND(OFFSET($P70,0,AI$13),15-13*ORÇAMENTO!$AF$7)/$H70*OFFSET(ORÇAMENTO!$X$15,ROW(AI70)-ROW(AI$15),0),
ROUND(ROUND(OFFSET($P70,0,AI$13),15-13*ORÇAMENTO!$AF$7)*OFFSET(ORÇAMENTO!$W$15,ROW(AI70)-ROW(AI$15),0),15-13*ORÇAMENTO!$AF$11)),0)</f>
        <v>0</v>
      </c>
      <c r="AJ70" s="545">
        <f ca="1">IF(AND($D70="Serviço",AJ$12&lt;&gt;0,$H70&gt;0,OR(AUTOEVENTO&lt;&gt;"manual",$M70&lt;&gt;1)),
IF(Import.TipoArredondamento&lt;&gt;"TransfereGOV",
ROUND(OFFSET($P70,0,AJ$13),15-13*ORÇAMENTO!$AF$7)/$H70*OFFSET(ORÇAMENTO!$X$15,ROW(AJ70)-ROW(AJ$15),0),
ROUND(ROUND(OFFSET($P70,0,AJ$13),15-13*ORÇAMENTO!$AF$7)*OFFSET(ORÇAMENTO!$W$15,ROW(AJ70)-ROW(AJ$15),0),15-13*ORÇAMENTO!$AF$11)),0)</f>
        <v>0</v>
      </c>
      <c r="AK70" s="546">
        <f ca="1">IF(AND($D70="Serviço",AK$12&lt;&gt;0,$H70&gt;0,OR(AUTOEVENTO&lt;&gt;"manual",$M70&lt;&gt;1)),
IF(Import.TipoArredondamento&lt;&gt;"TransfereGOV",
ROUND(OFFSET($P70,0,AK$13),15-13*ORÇAMENTO!$AF$7)/$H70*OFFSET(ORÇAMENTO!$X$15,ROW(AK70)-ROW(AK$15),0),
ROUND(ROUND(OFFSET($P70,0,AK$13),15-13*ORÇAMENTO!$AF$7)*OFFSET(ORÇAMENTO!$W$15,ROW(AK70)-ROW(AK$15),0),15-13*ORÇAMENTO!$AF$11)),0)</f>
        <v>0</v>
      </c>
      <c r="AM70" s="181">
        <f ca="1">IF($D70&lt;&gt;"Serviço",0,IF(AND(AUTOEVENTO="Manual",$M70=1),0,IF(OFFSET(CRONOPLE!$F$14,$M70,AM$13)="",10^12,OFFSET(CRONOPLE!$F$14,$M70,AM$13))))</f>
        <v>0</v>
      </c>
      <c r="AN70" s="181">
        <f ca="1">IF($D70&lt;&gt;"Serviço",0,IF(AND(AUTOEVENTO="Manual",$M70=1),0,IF(OFFSET(CRONOPLE!$F$14,$M70,AN$13)="",10^12,OFFSET(CRONOPLE!$F$14,$M70,AN$13))))</f>
        <v>0</v>
      </c>
      <c r="AO70" s="181">
        <f ca="1">IF($D70&lt;&gt;"Serviço",0,IF(AND(AUTOEVENTO="Manual",$M70=1),0,IF(OFFSET(CRONOPLE!$F$14,$M70,AO$13)="",10^12,OFFSET(CRONOPLE!$F$14,$M70,AO$13))))</f>
        <v>0</v>
      </c>
      <c r="AP70" s="181">
        <f ca="1">IF($D70&lt;&gt;"Serviço",0,IF(AND(AUTOEVENTO="Manual",$M70=1),0,IF(OFFSET(CRONOPLE!$F$14,$M70,AP$13)="",10^12,OFFSET(CRONOPLE!$F$14,$M70,AP$13))))</f>
        <v>0</v>
      </c>
      <c r="AQ70" s="181">
        <f ca="1">IF($D70&lt;&gt;"Serviço",0,IF(AND(AUTOEVENTO="Manual",$M70=1),0,IF(OFFSET(CRONOPLE!$F$14,$M70,AQ$13)="",10^12,OFFSET(CRONOPLE!$F$14,$M70,AQ$13))))</f>
        <v>0</v>
      </c>
      <c r="AR70" s="181">
        <f ca="1">IF($D70&lt;&gt;"Serviço",0,IF(AND(AUTOEVENTO="Manual",$M70=1),0,IF(OFFSET(CRONOPLE!$F$14,$M70,AR$13)="",10^12,OFFSET(CRONOPLE!$F$14,$M70,AR$13))))</f>
        <v>0</v>
      </c>
      <c r="AS70" s="181">
        <f ca="1">IF($D70&lt;&gt;"Serviço",0,IF(AND(AUTOEVENTO="Manual",$M70=1),0,IF(OFFSET(CRONOPLE!$F$14,$M70,AS$13)="",10^12,OFFSET(CRONOPLE!$F$14,$M70,AS$13))))</f>
        <v>0</v>
      </c>
      <c r="AT70" s="181">
        <f ca="1">IF($D70&lt;&gt;"Serviço",0,IF(AND(AUTOEVENTO="Manual",$M70=1),0,IF(OFFSET(CRONOPLE!$F$14,$M70,AT$13)="",10^12,OFFSET(CRONOPLE!$F$14,$M70,AT$13))))</f>
        <v>0</v>
      </c>
      <c r="AU70" s="181">
        <f ca="1">IF($D70&lt;&gt;"Serviço",0,IF(AND(AUTOEVENTO="Manual",$M70=1),0,IF(OFFSET(CRONOPLE!$F$14,$M70,AU$13)="",10^12,OFFSET(CRONOPLE!$F$14,$M70,AU$13))))</f>
        <v>0</v>
      </c>
      <c r="AV70" s="181">
        <f ca="1">IF($D70&lt;&gt;"Serviço",0,IF(AND(AUTOEVENTO="Manual",$M70=1),0,IF(OFFSET(CRONOPLE!$F$14,$M70,AV$13)="",10^12,OFFSET(CRONOPLE!$F$14,$M70,AV$13))))</f>
        <v>0</v>
      </c>
      <c r="AX70" s="182">
        <f ca="1">IF($D70&lt;&gt;"Serviço",0,IF(OR(AND(AUTOEVENTO="Manual",$M70=1),$M70&gt;(ROW(PLE.lastrow)-ROW(PLE.firstrow))),0,IF(OFFSET(PLE!$G$14,$M70,AX$13)="",10^12,OFFSET(PLE!$G$14,$M70,AX$13))))</f>
        <v>0</v>
      </c>
      <c r="AY70" s="182">
        <f ca="1">IF($D70&lt;&gt;"Serviço",0,IF(OR(AND(AUTOEVENTO="Manual",$M70=1),$M70&gt;(ROW(PLE.lastrow)-ROW(PLE.firstrow))),0,IF(OFFSET(PLE!$G$14,$M70,AY$13)="",10^12,OFFSET(PLE!$G$14,$M70,AY$13))))</f>
        <v>0</v>
      </c>
      <c r="AZ70" s="182">
        <f ca="1">IF($D70&lt;&gt;"Serviço",0,IF(OR(AND(AUTOEVENTO="Manual",$M70=1),$M70&gt;(ROW(PLE.lastrow)-ROW(PLE.firstrow))),0,IF(OFFSET(PLE!$G$14,$M70,AZ$13)="",10^12,OFFSET(PLE!$G$14,$M70,AZ$13))))</f>
        <v>0</v>
      </c>
      <c r="BA70" s="182">
        <f ca="1">IF($D70&lt;&gt;"Serviço",0,IF(OR(AND(AUTOEVENTO="Manual",$M70=1),$M70&gt;(ROW(PLE.lastrow)-ROW(PLE.firstrow))),0,IF(OFFSET(PLE!$G$14,$M70,BA$13)="",10^12,OFFSET(PLE!$G$14,$M70,BA$13))))</f>
        <v>0</v>
      </c>
      <c r="BB70" s="182">
        <f ca="1">IF($D70&lt;&gt;"Serviço",0,IF(OR(AND(AUTOEVENTO="Manual",$M70=1),$M70&gt;(ROW(PLE.lastrow)-ROW(PLE.firstrow))),0,IF(OFFSET(PLE!$G$14,$M70,BB$13)="",10^12,OFFSET(PLE!$G$14,$M70,BB$13))))</f>
        <v>0</v>
      </c>
      <c r="BC70" s="182">
        <f ca="1">IF($D70&lt;&gt;"Serviço",0,IF(OR(AND(AUTOEVENTO="Manual",$M70=1),$M70&gt;(ROW(PLE.lastrow)-ROW(PLE.firstrow))),0,IF(OFFSET(PLE!$G$14,$M70,BC$13)="",10^12,OFFSET(PLE!$G$14,$M70,BC$13))))</f>
        <v>0</v>
      </c>
      <c r="BD70" s="182">
        <f ca="1">IF($D70&lt;&gt;"Serviço",0,IF(OR(AND(AUTOEVENTO="Manual",$M70=1),$M70&gt;(ROW(PLE.lastrow)-ROW(PLE.firstrow))),0,IF(OFFSET(PLE!$G$14,$M70,BD$13)="",10^12,OFFSET(PLE!$G$14,$M70,BD$13))))</f>
        <v>0</v>
      </c>
      <c r="BE70" s="182">
        <f ca="1">IF($D70&lt;&gt;"Serviço",0,IF(OR(AND(AUTOEVENTO="Manual",$M70=1),$M70&gt;(ROW(PLE.lastrow)-ROW(PLE.firstrow))),0,IF(OFFSET(PLE!$G$14,$M70,BE$13)="",10^12,OFFSET(PLE!$G$14,$M70,BE$13))))</f>
        <v>0</v>
      </c>
      <c r="BF70" s="182">
        <f ca="1">IF($D70&lt;&gt;"Serviço",0,IF(OR(AND(AUTOEVENTO="Manual",$M70=1),$M70&gt;(ROW(PLE.lastrow)-ROW(PLE.firstrow))),0,IF(OFFSET(PLE!$G$14,$M70,BF$13)="",10^12,OFFSET(PLE!$G$14,$M70,BF$13))))</f>
        <v>0</v>
      </c>
      <c r="BG70" s="182">
        <f ca="1">IF($D70&lt;&gt;"Serviço",0,IF(OR(AND(AUTOEVENTO="Manual",$M70=1),$M70&gt;(ROW(PLE.lastrow)-ROW(PLE.firstrow))),0,IF(OFFSET(PLE!$G$14,$M70,BG$13)="",10^12,OFFSET(PLE!$G$14,$M70,BG$13))))</f>
        <v>0</v>
      </c>
    </row>
    <row r="71" spans="1:59" ht="12.75" x14ac:dyDescent="0.2">
      <c r="A71" s="7" t="str">
        <f ca="1">IF(AUTOEVENTO="Manual",IF(K71&lt;&gt;"",MIN(VALUE(LEFT(K71,FIND(".",K71)-1)),COUNTA(EVENTOS.Lista)),0),IF(OR($B71&gt;AUTOEVENTO,$B71="S",$B71=0),SUBSTITUTE(OFFSET($A71,-1,0),IF($D71="Serviço",".",""),""),ROW(A71)-ROW($A$15)&amp;"."))</f>
        <v>56.</v>
      </c>
      <c r="B71" s="7">
        <f ca="1">OFFSET(ORÇAMENTO!C$15,ROW(B71)-ROW(B$15),0)</f>
        <v>2</v>
      </c>
      <c r="C71" s="7" t="str">
        <f ca="1">OFFSET(ORÇAMENTO!L$15,ROW(C71)-ROW(C$15),0)</f>
        <v>F</v>
      </c>
      <c r="D71" s="118" t="str">
        <f ca="1">OFFSET(ORÇAMENTO!N$15,ROW(D71)-ROW(D$15),0)</f>
        <v>Nível 2</v>
      </c>
      <c r="E71" s="119" t="str">
        <f ca="1">OFFSET(ORÇAMENTO!O$15,ROW(E71)-ROW(E$15),0)</f>
        <v>5.1.</v>
      </c>
      <c r="F71" s="172" t="str">
        <f ca="1">OFFSET(ORÇAMENTO!R$15,ROW(F71)-ROW(F$15),0)</f>
        <v xml:space="preserve">COBERTURA </v>
      </c>
      <c r="G71" s="173" t="str">
        <f ca="1">IF($D71&lt;&gt;"Serviço","",OFFSET(ORÇAMENTO!S$15,ROW(G71)-ROW(G$15),0))</f>
        <v/>
      </c>
      <c r="H71" s="124">
        <f ca="1">IF($D71&lt;&gt;"Serviço",0,IF(ACOMPANHAMENTO="BM",ROUND(OFFSET(ORÇAMENTO!AJ$15,ROW(H71)-ROW(H$15),0),15-13*ORÇAMENTO!$AF$7),SUMPRODUCT(($Q$12:$AA$12&lt;&gt;"")*ROUND($Q71:$AA71,15-13*ORÇAMENTO!$AF$7))))</f>
        <v>0</v>
      </c>
      <c r="I71" s="561"/>
      <c r="K71" s="174"/>
      <c r="L71" s="175" t="s">
        <v>255</v>
      </c>
      <c r="M71" s="176" t="str">
        <f ca="1">IF($D71&lt;&gt;"Serviço","",IF(AUTOEVENTO="manual",$A71,IF(ISERROR(MATCH($A71,$A$15:OFFSET($A71,-1,0),0)),MAX($M$15:OFFSET(M71,-1,0))+1,INDEX($M$15:OFFSET(M71,-1,0),MATCH($A71,$A$15:OFFSET($A71,-1,0),0)))))</f>
        <v/>
      </c>
      <c r="N71" s="177" t="str">
        <f ca="1">IF($D71&lt;&gt;"Serviço","",IF(AUTOEVENTO="Manual",IF($A71=0,"&lt;-- defina o número do agrupador",OFFSET(EVENTOS!$D$14,$A71,0)),OFFSET($F$15,$A71,0)))</f>
        <v/>
      </c>
      <c r="O71" s="178"/>
      <c r="Q71" s="178"/>
      <c r="R71" s="179"/>
      <c r="S71" s="179"/>
      <c r="T71" s="179"/>
      <c r="U71" s="179"/>
      <c r="V71" s="179"/>
      <c r="W71" s="179"/>
      <c r="X71" s="179"/>
      <c r="Y71" s="179"/>
      <c r="Z71" s="180"/>
      <c r="AB71" s="544">
        <f ca="1">IF(AND($D71="Serviço",AB$12&lt;&gt;0,$H71&gt;0,OR(AUTOEVENTO&lt;&gt;"manual",$M71&lt;&gt;1)),
IF(Import.TipoArredondamento&lt;&gt;"TransfereGOV",
ROUND(OFFSET($P71,0,AB$13),15-13*ORÇAMENTO!$AF$7)/$H71*OFFSET(ORÇAMENTO!$X$15,ROW(AB71)-ROW(AB$15),0),
ROUND(ROUND(OFFSET($P71,0,AB$13),15-13*ORÇAMENTO!$AF$7)*OFFSET(ORÇAMENTO!$W$15,ROW(AB71)-ROW(AB$15),0),15-13*ORÇAMENTO!$AF$11)),0)</f>
        <v>0</v>
      </c>
      <c r="AC71" s="545">
        <f ca="1">IF(AND($D71="Serviço",AC$12&lt;&gt;0,$H71&gt;0,OR(AUTOEVENTO&lt;&gt;"manual",$M71&lt;&gt;1)),
IF(Import.TipoArredondamento&lt;&gt;"TransfereGOV",
ROUND(OFFSET($P71,0,AC$13),15-13*ORÇAMENTO!$AF$7)/$H71*OFFSET(ORÇAMENTO!$X$15,ROW(AC71)-ROW(AC$15),0),
ROUND(ROUND(OFFSET($P71,0,AC$13),15-13*ORÇAMENTO!$AF$7)*OFFSET(ORÇAMENTO!$W$15,ROW(AC71)-ROW(AC$15),0),15-13*ORÇAMENTO!$AF$11)),0)</f>
        <v>0</v>
      </c>
      <c r="AD71" s="545">
        <f ca="1">IF(AND($D71="Serviço",AD$12&lt;&gt;0,$H71&gt;0,OR(AUTOEVENTO&lt;&gt;"manual",$M71&lt;&gt;1)),
IF(Import.TipoArredondamento&lt;&gt;"TransfereGOV",
ROUND(OFFSET($P71,0,AD$13),15-13*ORÇAMENTO!$AF$7)/$H71*OFFSET(ORÇAMENTO!$X$15,ROW(AD71)-ROW(AD$15),0),
ROUND(ROUND(OFFSET($P71,0,AD$13),15-13*ORÇAMENTO!$AF$7)*OFFSET(ORÇAMENTO!$W$15,ROW(AD71)-ROW(AD$15),0),15-13*ORÇAMENTO!$AF$11)),0)</f>
        <v>0</v>
      </c>
      <c r="AE71" s="545">
        <f ca="1">IF(AND($D71="Serviço",AE$12&lt;&gt;0,$H71&gt;0,OR(AUTOEVENTO&lt;&gt;"manual",$M71&lt;&gt;1)),
IF(Import.TipoArredondamento&lt;&gt;"TransfereGOV",
ROUND(OFFSET($P71,0,AE$13),15-13*ORÇAMENTO!$AF$7)/$H71*OFFSET(ORÇAMENTO!$X$15,ROW(AE71)-ROW(AE$15),0),
ROUND(ROUND(OFFSET($P71,0,AE$13),15-13*ORÇAMENTO!$AF$7)*OFFSET(ORÇAMENTO!$W$15,ROW(AE71)-ROW(AE$15),0),15-13*ORÇAMENTO!$AF$11)),0)</f>
        <v>0</v>
      </c>
      <c r="AF71" s="545">
        <f ca="1">IF(AND($D71="Serviço",AF$12&lt;&gt;0,$H71&gt;0,OR(AUTOEVENTO&lt;&gt;"manual",$M71&lt;&gt;1)),
IF(Import.TipoArredondamento&lt;&gt;"TransfereGOV",
ROUND(OFFSET($P71,0,AF$13),15-13*ORÇAMENTO!$AF$7)/$H71*OFFSET(ORÇAMENTO!$X$15,ROW(AF71)-ROW(AF$15),0),
ROUND(ROUND(OFFSET($P71,0,AF$13),15-13*ORÇAMENTO!$AF$7)*OFFSET(ORÇAMENTO!$W$15,ROW(AF71)-ROW(AF$15),0),15-13*ORÇAMENTO!$AF$11)),0)</f>
        <v>0</v>
      </c>
      <c r="AG71" s="545">
        <f ca="1">IF(AND($D71="Serviço",AG$12&lt;&gt;0,$H71&gt;0,OR(AUTOEVENTO&lt;&gt;"manual",$M71&lt;&gt;1)),
IF(Import.TipoArredondamento&lt;&gt;"TransfereGOV",
ROUND(OFFSET($P71,0,AG$13),15-13*ORÇAMENTO!$AF$7)/$H71*OFFSET(ORÇAMENTO!$X$15,ROW(AG71)-ROW(AG$15),0),
ROUND(ROUND(OFFSET($P71,0,AG$13),15-13*ORÇAMENTO!$AF$7)*OFFSET(ORÇAMENTO!$W$15,ROW(AG71)-ROW(AG$15),0),15-13*ORÇAMENTO!$AF$11)),0)</f>
        <v>0</v>
      </c>
      <c r="AH71" s="545">
        <f ca="1">IF(AND($D71="Serviço",AH$12&lt;&gt;0,$H71&gt;0,OR(AUTOEVENTO&lt;&gt;"manual",$M71&lt;&gt;1)),
IF(Import.TipoArredondamento&lt;&gt;"TransfereGOV",
ROUND(OFFSET($P71,0,AH$13),15-13*ORÇAMENTO!$AF$7)/$H71*OFFSET(ORÇAMENTO!$X$15,ROW(AH71)-ROW(AH$15),0),
ROUND(ROUND(OFFSET($P71,0,AH$13),15-13*ORÇAMENTO!$AF$7)*OFFSET(ORÇAMENTO!$W$15,ROW(AH71)-ROW(AH$15),0),15-13*ORÇAMENTO!$AF$11)),0)</f>
        <v>0</v>
      </c>
      <c r="AI71" s="545">
        <f ca="1">IF(AND($D71="Serviço",AI$12&lt;&gt;0,$H71&gt;0,OR(AUTOEVENTO&lt;&gt;"manual",$M71&lt;&gt;1)),
IF(Import.TipoArredondamento&lt;&gt;"TransfereGOV",
ROUND(OFFSET($P71,0,AI$13),15-13*ORÇAMENTO!$AF$7)/$H71*OFFSET(ORÇAMENTO!$X$15,ROW(AI71)-ROW(AI$15),0),
ROUND(ROUND(OFFSET($P71,0,AI$13),15-13*ORÇAMENTO!$AF$7)*OFFSET(ORÇAMENTO!$W$15,ROW(AI71)-ROW(AI$15),0),15-13*ORÇAMENTO!$AF$11)),0)</f>
        <v>0</v>
      </c>
      <c r="AJ71" s="545">
        <f ca="1">IF(AND($D71="Serviço",AJ$12&lt;&gt;0,$H71&gt;0,OR(AUTOEVENTO&lt;&gt;"manual",$M71&lt;&gt;1)),
IF(Import.TipoArredondamento&lt;&gt;"TransfereGOV",
ROUND(OFFSET($P71,0,AJ$13),15-13*ORÇAMENTO!$AF$7)/$H71*OFFSET(ORÇAMENTO!$X$15,ROW(AJ71)-ROW(AJ$15),0),
ROUND(ROUND(OFFSET($P71,0,AJ$13),15-13*ORÇAMENTO!$AF$7)*OFFSET(ORÇAMENTO!$W$15,ROW(AJ71)-ROW(AJ$15),0),15-13*ORÇAMENTO!$AF$11)),0)</f>
        <v>0</v>
      </c>
      <c r="AK71" s="546">
        <f ca="1">IF(AND($D71="Serviço",AK$12&lt;&gt;0,$H71&gt;0,OR(AUTOEVENTO&lt;&gt;"manual",$M71&lt;&gt;1)),
IF(Import.TipoArredondamento&lt;&gt;"TransfereGOV",
ROUND(OFFSET($P71,0,AK$13),15-13*ORÇAMENTO!$AF$7)/$H71*OFFSET(ORÇAMENTO!$X$15,ROW(AK71)-ROW(AK$15),0),
ROUND(ROUND(OFFSET($P71,0,AK$13),15-13*ORÇAMENTO!$AF$7)*OFFSET(ORÇAMENTO!$W$15,ROW(AK71)-ROW(AK$15),0),15-13*ORÇAMENTO!$AF$11)),0)</f>
        <v>0</v>
      </c>
      <c r="AM71" s="181">
        <f ca="1">IF($D71&lt;&gt;"Serviço",0,IF(AND(AUTOEVENTO="Manual",$M71=1),0,IF(OFFSET(CRONOPLE!$F$14,$M71,AM$13)="",10^12,OFFSET(CRONOPLE!$F$14,$M71,AM$13))))</f>
        <v>0</v>
      </c>
      <c r="AN71" s="181">
        <f ca="1">IF($D71&lt;&gt;"Serviço",0,IF(AND(AUTOEVENTO="Manual",$M71=1),0,IF(OFFSET(CRONOPLE!$F$14,$M71,AN$13)="",10^12,OFFSET(CRONOPLE!$F$14,$M71,AN$13))))</f>
        <v>0</v>
      </c>
      <c r="AO71" s="181">
        <f ca="1">IF($D71&lt;&gt;"Serviço",0,IF(AND(AUTOEVENTO="Manual",$M71=1),0,IF(OFFSET(CRONOPLE!$F$14,$M71,AO$13)="",10^12,OFFSET(CRONOPLE!$F$14,$M71,AO$13))))</f>
        <v>0</v>
      </c>
      <c r="AP71" s="181">
        <f ca="1">IF($D71&lt;&gt;"Serviço",0,IF(AND(AUTOEVENTO="Manual",$M71=1),0,IF(OFFSET(CRONOPLE!$F$14,$M71,AP$13)="",10^12,OFFSET(CRONOPLE!$F$14,$M71,AP$13))))</f>
        <v>0</v>
      </c>
      <c r="AQ71" s="181">
        <f ca="1">IF($D71&lt;&gt;"Serviço",0,IF(AND(AUTOEVENTO="Manual",$M71=1),0,IF(OFFSET(CRONOPLE!$F$14,$M71,AQ$13)="",10^12,OFFSET(CRONOPLE!$F$14,$M71,AQ$13))))</f>
        <v>0</v>
      </c>
      <c r="AR71" s="181">
        <f ca="1">IF($D71&lt;&gt;"Serviço",0,IF(AND(AUTOEVENTO="Manual",$M71=1),0,IF(OFFSET(CRONOPLE!$F$14,$M71,AR$13)="",10^12,OFFSET(CRONOPLE!$F$14,$M71,AR$13))))</f>
        <v>0</v>
      </c>
      <c r="AS71" s="181">
        <f ca="1">IF($D71&lt;&gt;"Serviço",0,IF(AND(AUTOEVENTO="Manual",$M71=1),0,IF(OFFSET(CRONOPLE!$F$14,$M71,AS$13)="",10^12,OFFSET(CRONOPLE!$F$14,$M71,AS$13))))</f>
        <v>0</v>
      </c>
      <c r="AT71" s="181">
        <f ca="1">IF($D71&lt;&gt;"Serviço",0,IF(AND(AUTOEVENTO="Manual",$M71=1),0,IF(OFFSET(CRONOPLE!$F$14,$M71,AT$13)="",10^12,OFFSET(CRONOPLE!$F$14,$M71,AT$13))))</f>
        <v>0</v>
      </c>
      <c r="AU71" s="181">
        <f ca="1">IF($D71&lt;&gt;"Serviço",0,IF(AND(AUTOEVENTO="Manual",$M71=1),0,IF(OFFSET(CRONOPLE!$F$14,$M71,AU$13)="",10^12,OFFSET(CRONOPLE!$F$14,$M71,AU$13))))</f>
        <v>0</v>
      </c>
      <c r="AV71" s="181">
        <f ca="1">IF($D71&lt;&gt;"Serviço",0,IF(AND(AUTOEVENTO="Manual",$M71=1),0,IF(OFFSET(CRONOPLE!$F$14,$M71,AV$13)="",10^12,OFFSET(CRONOPLE!$F$14,$M71,AV$13))))</f>
        <v>0</v>
      </c>
      <c r="AX71" s="182">
        <f ca="1">IF($D71&lt;&gt;"Serviço",0,IF(OR(AND(AUTOEVENTO="Manual",$M71=1),$M71&gt;(ROW(PLE.lastrow)-ROW(PLE.firstrow))),0,IF(OFFSET(PLE!$G$14,$M71,AX$13)="",10^12,OFFSET(PLE!$G$14,$M71,AX$13))))</f>
        <v>0</v>
      </c>
      <c r="AY71" s="182">
        <f ca="1">IF($D71&lt;&gt;"Serviço",0,IF(OR(AND(AUTOEVENTO="Manual",$M71=1),$M71&gt;(ROW(PLE.lastrow)-ROW(PLE.firstrow))),0,IF(OFFSET(PLE!$G$14,$M71,AY$13)="",10^12,OFFSET(PLE!$G$14,$M71,AY$13))))</f>
        <v>0</v>
      </c>
      <c r="AZ71" s="182">
        <f ca="1">IF($D71&lt;&gt;"Serviço",0,IF(OR(AND(AUTOEVENTO="Manual",$M71=1),$M71&gt;(ROW(PLE.lastrow)-ROW(PLE.firstrow))),0,IF(OFFSET(PLE!$G$14,$M71,AZ$13)="",10^12,OFFSET(PLE!$G$14,$M71,AZ$13))))</f>
        <v>0</v>
      </c>
      <c r="BA71" s="182">
        <f ca="1">IF($D71&lt;&gt;"Serviço",0,IF(OR(AND(AUTOEVENTO="Manual",$M71=1),$M71&gt;(ROW(PLE.lastrow)-ROW(PLE.firstrow))),0,IF(OFFSET(PLE!$G$14,$M71,BA$13)="",10^12,OFFSET(PLE!$G$14,$M71,BA$13))))</f>
        <v>0</v>
      </c>
      <c r="BB71" s="182">
        <f ca="1">IF($D71&lt;&gt;"Serviço",0,IF(OR(AND(AUTOEVENTO="Manual",$M71=1),$M71&gt;(ROW(PLE.lastrow)-ROW(PLE.firstrow))),0,IF(OFFSET(PLE!$G$14,$M71,BB$13)="",10^12,OFFSET(PLE!$G$14,$M71,BB$13))))</f>
        <v>0</v>
      </c>
      <c r="BC71" s="182">
        <f ca="1">IF($D71&lt;&gt;"Serviço",0,IF(OR(AND(AUTOEVENTO="Manual",$M71=1),$M71&gt;(ROW(PLE.lastrow)-ROW(PLE.firstrow))),0,IF(OFFSET(PLE!$G$14,$M71,BC$13)="",10^12,OFFSET(PLE!$G$14,$M71,BC$13))))</f>
        <v>0</v>
      </c>
      <c r="BD71" s="182">
        <f ca="1">IF($D71&lt;&gt;"Serviço",0,IF(OR(AND(AUTOEVENTO="Manual",$M71=1),$M71&gt;(ROW(PLE.lastrow)-ROW(PLE.firstrow))),0,IF(OFFSET(PLE!$G$14,$M71,BD$13)="",10^12,OFFSET(PLE!$G$14,$M71,BD$13))))</f>
        <v>0</v>
      </c>
      <c r="BE71" s="182">
        <f ca="1">IF($D71&lt;&gt;"Serviço",0,IF(OR(AND(AUTOEVENTO="Manual",$M71=1),$M71&gt;(ROW(PLE.lastrow)-ROW(PLE.firstrow))),0,IF(OFFSET(PLE!$G$14,$M71,BE$13)="",10^12,OFFSET(PLE!$G$14,$M71,BE$13))))</f>
        <v>0</v>
      </c>
      <c r="BF71" s="182">
        <f ca="1">IF($D71&lt;&gt;"Serviço",0,IF(OR(AND(AUTOEVENTO="Manual",$M71=1),$M71&gt;(ROW(PLE.lastrow)-ROW(PLE.firstrow))),0,IF(OFFSET(PLE!$G$14,$M71,BF$13)="",10^12,OFFSET(PLE!$G$14,$M71,BF$13))))</f>
        <v>0</v>
      </c>
      <c r="BG71" s="182">
        <f ca="1">IF($D71&lt;&gt;"Serviço",0,IF(OR(AND(AUTOEVENTO="Manual",$M71=1),$M71&gt;(ROW(PLE.lastrow)-ROW(PLE.firstrow))),0,IF(OFFSET(PLE!$G$14,$M71,BG$13)="",10^12,OFFSET(PLE!$G$14,$M71,BG$13))))</f>
        <v>0</v>
      </c>
    </row>
    <row r="72" spans="1:59" ht="25.5" x14ac:dyDescent="0.2">
      <c r="A72" s="7" t="str">
        <f t="shared" ca="1" si="8"/>
        <v>56</v>
      </c>
      <c r="B72" s="7" t="str">
        <f ca="1">OFFSET(ORÇAMENTO!C$15,ROW(B72)-ROW(B$15),0)</f>
        <v>S</v>
      </c>
      <c r="C72" s="7" t="str">
        <f ca="1">OFFSET(ORÇAMENTO!L$15,ROW(C72)-ROW(C$15),0)</f>
        <v>F</v>
      </c>
      <c r="D72" s="118" t="str">
        <f ca="1">OFFSET(ORÇAMENTO!N$15,ROW(D72)-ROW(D$15),0)</f>
        <v>Serviço</v>
      </c>
      <c r="E72" s="119" t="str">
        <f ca="1">OFFSET(ORÇAMENTO!O$15,ROW(E72)-ROW(E$15),0)</f>
        <v>5.1.1.</v>
      </c>
      <c r="F72" s="172" t="str">
        <f ca="1">OFFSET(ORÇAMENTO!R$15,ROW(F72)-ROW(F$15),0)</f>
        <v xml:space="preserve">TRAMA DE AÇO COMPOSTA POR TERÇAS PARA TELHADOS DE ATÉ 2 ÁGUAS PARA TELHA METÁLICA, INCLUSO TRANSPORTE E PINTURA </v>
      </c>
      <c r="G72" s="173" t="str">
        <f ca="1">IF($D72&lt;&gt;"Serviço","",OFFSET(ORÇAMENTO!S$15,ROW(G72)-ROW(G$15),0))</f>
        <v xml:space="preserve">UN </v>
      </c>
      <c r="H72" s="124">
        <f ca="1">IF($D72&lt;&gt;"Serviço",0,IF(ACOMPANHAMENTO="BM",ROUND(OFFSET(ORÇAMENTO!AJ$15,ROW(H72)-ROW(H$15),0),15-13*ORÇAMENTO!$AF$7),SUMPRODUCT(($Q$12:$AA$12&lt;&gt;"")*ROUND($Q72:$AA72,15-13*ORÇAMENTO!$AF$7))))</f>
        <v>12</v>
      </c>
      <c r="I72" s="561"/>
      <c r="K72" s="174"/>
      <c r="L72" s="175" t="s">
        <v>255</v>
      </c>
      <c r="M72" s="176">
        <f ca="1">IF($D72&lt;&gt;"Serviço","",IF(AUTOEVENTO="manual",$A72,IF(ISERROR(MATCH($A72,$A$15:OFFSET($A72,-1,0),0)),MAX($M$15:OFFSET(M72,-1,0))+1,INDEX($M$15:OFFSET(M72,-1,0),MATCH($A72,$A$15:OFFSET($A72,-1,0),0)))))</f>
        <v>12</v>
      </c>
      <c r="N72" s="177" t="str">
        <f ca="1">IF($D72&lt;&gt;"Serviço","",IF(AUTOEVENTO="Manual",IF($A72=0,"&lt;-- defina o número do agrupador",OFFSET(EVENTOS!$D$14,$A72,0)),OFFSET($F$15,$A72,0)))</f>
        <v xml:space="preserve">COBERTURA </v>
      </c>
      <c r="O72" s="178"/>
      <c r="Q72" s="178"/>
      <c r="R72" s="179"/>
      <c r="S72" s="179"/>
      <c r="T72" s="179"/>
      <c r="U72" s="179"/>
      <c r="V72" s="179"/>
      <c r="W72" s="179"/>
      <c r="X72" s="179"/>
      <c r="Y72" s="179"/>
      <c r="Z72" s="180"/>
      <c r="AB72" s="544">
        <f ca="1">IF(AND($D72="Serviço",AB$12&lt;&gt;0,$H72&gt;0,OR(AUTOEVENTO&lt;&gt;"manual",$M72&lt;&gt;1)),
IF(Import.TipoArredondamento&lt;&gt;"TransfereGOV",
ROUND(OFFSET($P72,0,AB$13),15-13*ORÇAMENTO!$AF$7)/$H72*OFFSET(ORÇAMENTO!$X$15,ROW(AB72)-ROW(AB$15),0),
ROUND(ROUND(OFFSET($P72,0,AB$13),15-13*ORÇAMENTO!$AF$7)*OFFSET(ORÇAMENTO!$W$15,ROW(AB72)-ROW(AB$15),0),15-13*ORÇAMENTO!$AF$11)),0)</f>
        <v>0</v>
      </c>
      <c r="AC72" s="545">
        <f ca="1">IF(AND($D72="Serviço",AC$12&lt;&gt;0,$H72&gt;0,OR(AUTOEVENTO&lt;&gt;"manual",$M72&lt;&gt;1)),
IF(Import.TipoArredondamento&lt;&gt;"TransfereGOV",
ROUND(OFFSET($P72,0,AC$13),15-13*ORÇAMENTO!$AF$7)/$H72*OFFSET(ORÇAMENTO!$X$15,ROW(AC72)-ROW(AC$15),0),
ROUND(ROUND(OFFSET($P72,0,AC$13),15-13*ORÇAMENTO!$AF$7)*OFFSET(ORÇAMENTO!$W$15,ROW(AC72)-ROW(AC$15),0),15-13*ORÇAMENTO!$AF$11)),0)</f>
        <v>0</v>
      </c>
      <c r="AD72" s="545">
        <f ca="1">IF(AND($D72="Serviço",AD$12&lt;&gt;0,$H72&gt;0,OR(AUTOEVENTO&lt;&gt;"manual",$M72&lt;&gt;1)),
IF(Import.TipoArredondamento&lt;&gt;"TransfereGOV",
ROUND(OFFSET($P72,0,AD$13),15-13*ORÇAMENTO!$AF$7)/$H72*OFFSET(ORÇAMENTO!$X$15,ROW(AD72)-ROW(AD$15),0),
ROUND(ROUND(OFFSET($P72,0,AD$13),15-13*ORÇAMENTO!$AF$7)*OFFSET(ORÇAMENTO!$W$15,ROW(AD72)-ROW(AD$15),0),15-13*ORÇAMENTO!$AF$11)),0)</f>
        <v>0</v>
      </c>
      <c r="AE72" s="545">
        <f ca="1">IF(AND($D72="Serviço",AE$12&lt;&gt;0,$H72&gt;0,OR(AUTOEVENTO&lt;&gt;"manual",$M72&lt;&gt;1)),
IF(Import.TipoArredondamento&lt;&gt;"TransfereGOV",
ROUND(OFFSET($P72,0,AE$13),15-13*ORÇAMENTO!$AF$7)/$H72*OFFSET(ORÇAMENTO!$X$15,ROW(AE72)-ROW(AE$15),0),
ROUND(ROUND(OFFSET($P72,0,AE$13),15-13*ORÇAMENTO!$AF$7)*OFFSET(ORÇAMENTO!$W$15,ROW(AE72)-ROW(AE$15),0),15-13*ORÇAMENTO!$AF$11)),0)</f>
        <v>0</v>
      </c>
      <c r="AF72" s="545">
        <f ca="1">IF(AND($D72="Serviço",AF$12&lt;&gt;0,$H72&gt;0,OR(AUTOEVENTO&lt;&gt;"manual",$M72&lt;&gt;1)),
IF(Import.TipoArredondamento&lt;&gt;"TransfereGOV",
ROUND(OFFSET($P72,0,AF$13),15-13*ORÇAMENTO!$AF$7)/$H72*OFFSET(ORÇAMENTO!$X$15,ROW(AF72)-ROW(AF$15),0),
ROUND(ROUND(OFFSET($P72,0,AF$13),15-13*ORÇAMENTO!$AF$7)*OFFSET(ORÇAMENTO!$W$15,ROW(AF72)-ROW(AF$15),0),15-13*ORÇAMENTO!$AF$11)),0)</f>
        <v>0</v>
      </c>
      <c r="AG72" s="545">
        <f ca="1">IF(AND($D72="Serviço",AG$12&lt;&gt;0,$H72&gt;0,OR(AUTOEVENTO&lt;&gt;"manual",$M72&lt;&gt;1)),
IF(Import.TipoArredondamento&lt;&gt;"TransfereGOV",
ROUND(OFFSET($P72,0,AG$13),15-13*ORÇAMENTO!$AF$7)/$H72*OFFSET(ORÇAMENTO!$X$15,ROW(AG72)-ROW(AG$15),0),
ROUND(ROUND(OFFSET($P72,0,AG$13),15-13*ORÇAMENTO!$AF$7)*OFFSET(ORÇAMENTO!$W$15,ROW(AG72)-ROW(AG$15),0),15-13*ORÇAMENTO!$AF$11)),0)</f>
        <v>0</v>
      </c>
      <c r="AH72" s="545">
        <f ca="1">IF(AND($D72="Serviço",AH$12&lt;&gt;0,$H72&gt;0,OR(AUTOEVENTO&lt;&gt;"manual",$M72&lt;&gt;1)),
IF(Import.TipoArredondamento&lt;&gt;"TransfereGOV",
ROUND(OFFSET($P72,0,AH$13),15-13*ORÇAMENTO!$AF$7)/$H72*OFFSET(ORÇAMENTO!$X$15,ROW(AH72)-ROW(AH$15),0),
ROUND(ROUND(OFFSET($P72,0,AH$13),15-13*ORÇAMENTO!$AF$7)*OFFSET(ORÇAMENTO!$W$15,ROW(AH72)-ROW(AH$15),0),15-13*ORÇAMENTO!$AF$11)),0)</f>
        <v>0</v>
      </c>
      <c r="AI72" s="545">
        <f ca="1">IF(AND($D72="Serviço",AI$12&lt;&gt;0,$H72&gt;0,OR(AUTOEVENTO&lt;&gt;"manual",$M72&lt;&gt;1)),
IF(Import.TipoArredondamento&lt;&gt;"TransfereGOV",
ROUND(OFFSET($P72,0,AI$13),15-13*ORÇAMENTO!$AF$7)/$H72*OFFSET(ORÇAMENTO!$X$15,ROW(AI72)-ROW(AI$15),0),
ROUND(ROUND(OFFSET($P72,0,AI$13),15-13*ORÇAMENTO!$AF$7)*OFFSET(ORÇAMENTO!$W$15,ROW(AI72)-ROW(AI$15),0),15-13*ORÇAMENTO!$AF$11)),0)</f>
        <v>0</v>
      </c>
      <c r="AJ72" s="545">
        <f ca="1">IF(AND($D72="Serviço",AJ$12&lt;&gt;0,$H72&gt;0,OR(AUTOEVENTO&lt;&gt;"manual",$M72&lt;&gt;1)),
IF(Import.TipoArredondamento&lt;&gt;"TransfereGOV",
ROUND(OFFSET($P72,0,AJ$13),15-13*ORÇAMENTO!$AF$7)/$H72*OFFSET(ORÇAMENTO!$X$15,ROW(AJ72)-ROW(AJ$15),0),
ROUND(ROUND(OFFSET($P72,0,AJ$13),15-13*ORÇAMENTO!$AF$7)*OFFSET(ORÇAMENTO!$W$15,ROW(AJ72)-ROW(AJ$15),0),15-13*ORÇAMENTO!$AF$11)),0)</f>
        <v>0</v>
      </c>
      <c r="AK72" s="546">
        <f ca="1">IF(AND($D72="Serviço",AK$12&lt;&gt;0,$H72&gt;0,OR(AUTOEVENTO&lt;&gt;"manual",$M72&lt;&gt;1)),
IF(Import.TipoArredondamento&lt;&gt;"TransfereGOV",
ROUND(OFFSET($P72,0,AK$13),15-13*ORÇAMENTO!$AF$7)/$H72*OFFSET(ORÇAMENTO!$X$15,ROW(AK72)-ROW(AK$15),0),
ROUND(ROUND(OFFSET($P72,0,AK$13),15-13*ORÇAMENTO!$AF$7)*OFFSET(ORÇAMENTO!$W$15,ROW(AK72)-ROW(AK$15),0),15-13*ORÇAMENTO!$AF$11)),0)</f>
        <v>0</v>
      </c>
      <c r="AM72" s="181">
        <f ca="1">IF($D72&lt;&gt;"Serviço",0,IF(AND(AUTOEVENTO="Manual",$M72=1),0,IF(OFFSET(CRONOPLE!$F$14,$M72,AM$13)="",10^12,OFFSET(CRONOPLE!$F$14,$M72,AM$13))))</f>
        <v>1000000000000</v>
      </c>
      <c r="AN72" s="181">
        <f ca="1">IF($D72&lt;&gt;"Serviço",0,IF(AND(AUTOEVENTO="Manual",$M72=1),0,IF(OFFSET(CRONOPLE!$F$14,$M72,AN$13)="",10^12,OFFSET(CRONOPLE!$F$14,$M72,AN$13))))</f>
        <v>1000000000000</v>
      </c>
      <c r="AO72" s="181">
        <f ca="1">IF($D72&lt;&gt;"Serviço",0,IF(AND(AUTOEVENTO="Manual",$M72=1),0,IF(OFFSET(CRONOPLE!$F$14,$M72,AO$13)="",10^12,OFFSET(CRONOPLE!$F$14,$M72,AO$13))))</f>
        <v>1000000000000</v>
      </c>
      <c r="AP72" s="181">
        <f ca="1">IF($D72&lt;&gt;"Serviço",0,IF(AND(AUTOEVENTO="Manual",$M72=1),0,IF(OFFSET(CRONOPLE!$F$14,$M72,AP$13)="",10^12,OFFSET(CRONOPLE!$F$14,$M72,AP$13))))</f>
        <v>1000000000000</v>
      </c>
      <c r="AQ72" s="181">
        <f ca="1">IF($D72&lt;&gt;"Serviço",0,IF(AND(AUTOEVENTO="Manual",$M72=1),0,IF(OFFSET(CRONOPLE!$F$14,$M72,AQ$13)="",10^12,OFFSET(CRONOPLE!$F$14,$M72,AQ$13))))</f>
        <v>1000000000000</v>
      </c>
      <c r="AR72" s="181">
        <f ca="1">IF($D72&lt;&gt;"Serviço",0,IF(AND(AUTOEVENTO="Manual",$M72=1),0,IF(OFFSET(CRONOPLE!$F$14,$M72,AR$13)="",10^12,OFFSET(CRONOPLE!$F$14,$M72,AR$13))))</f>
        <v>1000000000000</v>
      </c>
      <c r="AS72" s="181">
        <f ca="1">IF($D72&lt;&gt;"Serviço",0,IF(AND(AUTOEVENTO="Manual",$M72=1),0,IF(OFFSET(CRONOPLE!$F$14,$M72,AS$13)="",10^12,OFFSET(CRONOPLE!$F$14,$M72,AS$13))))</f>
        <v>1000000000000</v>
      </c>
      <c r="AT72" s="181">
        <f ca="1">IF($D72&lt;&gt;"Serviço",0,IF(AND(AUTOEVENTO="Manual",$M72=1),0,IF(OFFSET(CRONOPLE!$F$14,$M72,AT$13)="",10^12,OFFSET(CRONOPLE!$F$14,$M72,AT$13))))</f>
        <v>1000000000000</v>
      </c>
      <c r="AU72" s="181">
        <f ca="1">IF($D72&lt;&gt;"Serviço",0,IF(AND(AUTOEVENTO="Manual",$M72=1),0,IF(OFFSET(CRONOPLE!$F$14,$M72,AU$13)="",10^12,OFFSET(CRONOPLE!$F$14,$M72,AU$13))))</f>
        <v>1000000000000</v>
      </c>
      <c r="AV72" s="181">
        <f ca="1">IF($D72&lt;&gt;"Serviço",0,IF(AND(AUTOEVENTO="Manual",$M72=1),0,IF(OFFSET(CRONOPLE!$F$14,$M72,AV$13)="",10^12,OFFSET(CRONOPLE!$F$14,$M72,AV$13))))</f>
        <v>1000000000000</v>
      </c>
      <c r="AX72" s="182">
        <f ca="1">IF($D72&lt;&gt;"Serviço",0,IF(OR(AND(AUTOEVENTO="Manual",$M72=1),$M72&gt;(ROW(PLE.lastrow)-ROW(PLE.firstrow))),0,IF(OFFSET(PLE!$G$14,$M72,AX$13)="",10^12,OFFSET(PLE!$G$14,$M72,AX$13))))</f>
        <v>1000000000000</v>
      </c>
      <c r="AY72" s="182">
        <f ca="1">IF($D72&lt;&gt;"Serviço",0,IF(OR(AND(AUTOEVENTO="Manual",$M72=1),$M72&gt;(ROW(PLE.lastrow)-ROW(PLE.firstrow))),0,IF(OFFSET(PLE!$G$14,$M72,AY$13)="",10^12,OFFSET(PLE!$G$14,$M72,AY$13))))</f>
        <v>1000000000000</v>
      </c>
      <c r="AZ72" s="182">
        <f ca="1">IF($D72&lt;&gt;"Serviço",0,IF(OR(AND(AUTOEVENTO="Manual",$M72=1),$M72&gt;(ROW(PLE.lastrow)-ROW(PLE.firstrow))),0,IF(OFFSET(PLE!$G$14,$M72,AZ$13)="",10^12,OFFSET(PLE!$G$14,$M72,AZ$13))))</f>
        <v>1000000000000</v>
      </c>
      <c r="BA72" s="182">
        <f ca="1">IF($D72&lt;&gt;"Serviço",0,IF(OR(AND(AUTOEVENTO="Manual",$M72=1),$M72&gt;(ROW(PLE.lastrow)-ROW(PLE.firstrow))),0,IF(OFFSET(PLE!$G$14,$M72,BA$13)="",10^12,OFFSET(PLE!$G$14,$M72,BA$13))))</f>
        <v>1000000000000</v>
      </c>
      <c r="BB72" s="182">
        <f ca="1">IF($D72&lt;&gt;"Serviço",0,IF(OR(AND(AUTOEVENTO="Manual",$M72=1),$M72&gt;(ROW(PLE.lastrow)-ROW(PLE.firstrow))),0,IF(OFFSET(PLE!$G$14,$M72,BB$13)="",10^12,OFFSET(PLE!$G$14,$M72,BB$13))))</f>
        <v>1000000000000</v>
      </c>
      <c r="BC72" s="182">
        <f ca="1">IF($D72&lt;&gt;"Serviço",0,IF(OR(AND(AUTOEVENTO="Manual",$M72=1),$M72&gt;(ROW(PLE.lastrow)-ROW(PLE.firstrow))),0,IF(OFFSET(PLE!$G$14,$M72,BC$13)="",10^12,OFFSET(PLE!$G$14,$M72,BC$13))))</f>
        <v>1000000000000</v>
      </c>
      <c r="BD72" s="182">
        <f ca="1">IF($D72&lt;&gt;"Serviço",0,IF(OR(AND(AUTOEVENTO="Manual",$M72=1),$M72&gt;(ROW(PLE.lastrow)-ROW(PLE.firstrow))),0,IF(OFFSET(PLE!$G$14,$M72,BD$13)="",10^12,OFFSET(PLE!$G$14,$M72,BD$13))))</f>
        <v>1000000000000</v>
      </c>
      <c r="BE72" s="182">
        <f ca="1">IF($D72&lt;&gt;"Serviço",0,IF(OR(AND(AUTOEVENTO="Manual",$M72=1),$M72&gt;(ROW(PLE.lastrow)-ROW(PLE.firstrow))),0,IF(OFFSET(PLE!$G$14,$M72,BE$13)="",10^12,OFFSET(PLE!$G$14,$M72,BE$13))))</f>
        <v>1000000000000</v>
      </c>
      <c r="BF72" s="182">
        <f ca="1">IF($D72&lt;&gt;"Serviço",0,IF(OR(AND(AUTOEVENTO="Manual",$M72=1),$M72&gt;(ROW(PLE.lastrow)-ROW(PLE.firstrow))),0,IF(OFFSET(PLE!$G$14,$M72,BF$13)="",10^12,OFFSET(PLE!$G$14,$M72,BF$13))))</f>
        <v>1000000000000</v>
      </c>
      <c r="BG72" s="182">
        <f ca="1">IF($D72&lt;&gt;"Serviço",0,IF(OR(AND(AUTOEVENTO="Manual",$M72=1),$M72&gt;(ROW(PLE.lastrow)-ROW(PLE.firstrow))),0,IF(OFFSET(PLE!$G$14,$M72,BG$13)="",10^12,OFFSET(PLE!$G$14,$M72,BG$13))))</f>
        <v>1000000000000</v>
      </c>
    </row>
    <row r="73" spans="1:59" ht="25.5" x14ac:dyDescent="0.2">
      <c r="A73" s="7" t="str">
        <f t="shared" ca="1" si="8"/>
        <v>56</v>
      </c>
      <c r="B73" s="7" t="str">
        <f ca="1">OFFSET(ORÇAMENTO!C$15,ROW(B73)-ROW(B$15),0)</f>
        <v>S</v>
      </c>
      <c r="C73" s="7" t="str">
        <f ca="1">OFFSET(ORÇAMENTO!L$15,ROW(C73)-ROW(C$15),0)</f>
        <v>F</v>
      </c>
      <c r="D73" s="118" t="str">
        <f ca="1">OFFSET(ORÇAMENTO!N$15,ROW(D73)-ROW(D$15),0)</f>
        <v>Serviço</v>
      </c>
      <c r="E73" s="119" t="str">
        <f ca="1">OFFSET(ORÇAMENTO!O$15,ROW(E73)-ROW(E$15),0)</f>
        <v>5.1.2.</v>
      </c>
      <c r="F73" s="172" t="str">
        <f ca="1">OFFSET(ORÇAMENTO!R$15,ROW(F73)-ROW(F$15),0)</f>
        <v>TELHAMENTO COM TELHA DE AÇO/ALUMINIO E=0,5MM, COM ATE 2 ÁGUAS, INCLUSO IÇAMENTO E CUMEEIRA</v>
      </c>
      <c r="G73" s="173" t="str">
        <f ca="1">IF($D73&lt;&gt;"Serviço","",OFFSET(ORÇAMENTO!S$15,ROW(G73)-ROW(G$15),0))</f>
        <v>M2</v>
      </c>
      <c r="H73" s="124">
        <f ca="1">IF($D73&lt;&gt;"Serviço",0,IF(ACOMPANHAMENTO="BM",ROUND(OFFSET(ORÇAMENTO!AJ$15,ROW(H73)-ROW(H$15),0),15-13*ORÇAMENTO!$AF$7),SUMPRODUCT(($Q$12:$AA$12&lt;&gt;"")*ROUND($Q73:$AA73,15-13*ORÇAMENTO!$AF$7))))</f>
        <v>240.24</v>
      </c>
      <c r="I73" s="561" t="s">
        <v>543</v>
      </c>
      <c r="K73" s="174"/>
      <c r="L73" s="175" t="s">
        <v>255</v>
      </c>
      <c r="M73" s="176">
        <f ca="1">IF($D73&lt;&gt;"Serviço","",IF(AUTOEVENTO="manual",$A73,IF(ISERROR(MATCH($A73,$A$15:OFFSET($A73,-1,0),0)),MAX($M$15:OFFSET(M73,-1,0))+1,INDEX($M$15:OFFSET(M73,-1,0),MATCH($A73,$A$15:OFFSET($A73,-1,0),0)))))</f>
        <v>12</v>
      </c>
      <c r="N73" s="177" t="str">
        <f ca="1">IF($D73&lt;&gt;"Serviço","",IF(AUTOEVENTO="Manual",IF($A73=0,"&lt;-- defina o número do agrupador",OFFSET(EVENTOS!$D$14,$A73,0)),OFFSET($F$15,$A73,0)))</f>
        <v xml:space="preserve">COBERTURA </v>
      </c>
      <c r="O73" s="178"/>
      <c r="Q73" s="178"/>
      <c r="R73" s="179"/>
      <c r="S73" s="179"/>
      <c r="T73" s="179"/>
      <c r="U73" s="179"/>
      <c r="V73" s="179"/>
      <c r="W73" s="179"/>
      <c r="X73" s="179"/>
      <c r="Y73" s="179"/>
      <c r="Z73" s="180"/>
      <c r="AB73" s="544">
        <f ca="1">IF(AND($D73="Serviço",AB$12&lt;&gt;0,$H73&gt;0,OR(AUTOEVENTO&lt;&gt;"manual",$M73&lt;&gt;1)),
IF(Import.TipoArredondamento&lt;&gt;"TransfereGOV",
ROUND(OFFSET($P73,0,AB$13),15-13*ORÇAMENTO!$AF$7)/$H73*OFFSET(ORÇAMENTO!$X$15,ROW(AB73)-ROW(AB$15),0),
ROUND(ROUND(OFFSET($P73,0,AB$13),15-13*ORÇAMENTO!$AF$7)*OFFSET(ORÇAMENTO!$W$15,ROW(AB73)-ROW(AB$15),0),15-13*ORÇAMENTO!$AF$11)),0)</f>
        <v>0</v>
      </c>
      <c r="AC73" s="545">
        <f ca="1">IF(AND($D73="Serviço",AC$12&lt;&gt;0,$H73&gt;0,OR(AUTOEVENTO&lt;&gt;"manual",$M73&lt;&gt;1)),
IF(Import.TipoArredondamento&lt;&gt;"TransfereGOV",
ROUND(OFFSET($P73,0,AC$13),15-13*ORÇAMENTO!$AF$7)/$H73*OFFSET(ORÇAMENTO!$X$15,ROW(AC73)-ROW(AC$15),0),
ROUND(ROUND(OFFSET($P73,0,AC$13),15-13*ORÇAMENTO!$AF$7)*OFFSET(ORÇAMENTO!$W$15,ROW(AC73)-ROW(AC$15),0),15-13*ORÇAMENTO!$AF$11)),0)</f>
        <v>0</v>
      </c>
      <c r="AD73" s="545">
        <f ca="1">IF(AND($D73="Serviço",AD$12&lt;&gt;0,$H73&gt;0,OR(AUTOEVENTO&lt;&gt;"manual",$M73&lt;&gt;1)),
IF(Import.TipoArredondamento&lt;&gt;"TransfereGOV",
ROUND(OFFSET($P73,0,AD$13),15-13*ORÇAMENTO!$AF$7)/$H73*OFFSET(ORÇAMENTO!$X$15,ROW(AD73)-ROW(AD$15),0),
ROUND(ROUND(OFFSET($P73,0,AD$13),15-13*ORÇAMENTO!$AF$7)*OFFSET(ORÇAMENTO!$W$15,ROW(AD73)-ROW(AD$15),0),15-13*ORÇAMENTO!$AF$11)),0)</f>
        <v>0</v>
      </c>
      <c r="AE73" s="545">
        <f ca="1">IF(AND($D73="Serviço",AE$12&lt;&gt;0,$H73&gt;0,OR(AUTOEVENTO&lt;&gt;"manual",$M73&lt;&gt;1)),
IF(Import.TipoArredondamento&lt;&gt;"TransfereGOV",
ROUND(OFFSET($P73,0,AE$13),15-13*ORÇAMENTO!$AF$7)/$H73*OFFSET(ORÇAMENTO!$X$15,ROW(AE73)-ROW(AE$15),0),
ROUND(ROUND(OFFSET($P73,0,AE$13),15-13*ORÇAMENTO!$AF$7)*OFFSET(ORÇAMENTO!$W$15,ROW(AE73)-ROW(AE$15),0),15-13*ORÇAMENTO!$AF$11)),0)</f>
        <v>0</v>
      </c>
      <c r="AF73" s="545">
        <f ca="1">IF(AND($D73="Serviço",AF$12&lt;&gt;0,$H73&gt;0,OR(AUTOEVENTO&lt;&gt;"manual",$M73&lt;&gt;1)),
IF(Import.TipoArredondamento&lt;&gt;"TransfereGOV",
ROUND(OFFSET($P73,0,AF$13),15-13*ORÇAMENTO!$AF$7)/$H73*OFFSET(ORÇAMENTO!$X$15,ROW(AF73)-ROW(AF$15),0),
ROUND(ROUND(OFFSET($P73,0,AF$13),15-13*ORÇAMENTO!$AF$7)*OFFSET(ORÇAMENTO!$W$15,ROW(AF73)-ROW(AF$15),0),15-13*ORÇAMENTO!$AF$11)),0)</f>
        <v>0</v>
      </c>
      <c r="AG73" s="545">
        <f ca="1">IF(AND($D73="Serviço",AG$12&lt;&gt;0,$H73&gt;0,OR(AUTOEVENTO&lt;&gt;"manual",$M73&lt;&gt;1)),
IF(Import.TipoArredondamento&lt;&gt;"TransfereGOV",
ROUND(OFFSET($P73,0,AG$13),15-13*ORÇAMENTO!$AF$7)/$H73*OFFSET(ORÇAMENTO!$X$15,ROW(AG73)-ROW(AG$15),0),
ROUND(ROUND(OFFSET($P73,0,AG$13),15-13*ORÇAMENTO!$AF$7)*OFFSET(ORÇAMENTO!$W$15,ROW(AG73)-ROW(AG$15),0),15-13*ORÇAMENTO!$AF$11)),0)</f>
        <v>0</v>
      </c>
      <c r="AH73" s="545">
        <f ca="1">IF(AND($D73="Serviço",AH$12&lt;&gt;0,$H73&gt;0,OR(AUTOEVENTO&lt;&gt;"manual",$M73&lt;&gt;1)),
IF(Import.TipoArredondamento&lt;&gt;"TransfereGOV",
ROUND(OFFSET($P73,0,AH$13),15-13*ORÇAMENTO!$AF$7)/$H73*OFFSET(ORÇAMENTO!$X$15,ROW(AH73)-ROW(AH$15),0),
ROUND(ROUND(OFFSET($P73,0,AH$13),15-13*ORÇAMENTO!$AF$7)*OFFSET(ORÇAMENTO!$W$15,ROW(AH73)-ROW(AH$15),0),15-13*ORÇAMENTO!$AF$11)),0)</f>
        <v>0</v>
      </c>
      <c r="AI73" s="545">
        <f ca="1">IF(AND($D73="Serviço",AI$12&lt;&gt;0,$H73&gt;0,OR(AUTOEVENTO&lt;&gt;"manual",$M73&lt;&gt;1)),
IF(Import.TipoArredondamento&lt;&gt;"TransfereGOV",
ROUND(OFFSET($P73,0,AI$13),15-13*ORÇAMENTO!$AF$7)/$H73*OFFSET(ORÇAMENTO!$X$15,ROW(AI73)-ROW(AI$15),0),
ROUND(ROUND(OFFSET($P73,0,AI$13),15-13*ORÇAMENTO!$AF$7)*OFFSET(ORÇAMENTO!$W$15,ROW(AI73)-ROW(AI$15),0),15-13*ORÇAMENTO!$AF$11)),0)</f>
        <v>0</v>
      </c>
      <c r="AJ73" s="545">
        <f ca="1">IF(AND($D73="Serviço",AJ$12&lt;&gt;0,$H73&gt;0,OR(AUTOEVENTO&lt;&gt;"manual",$M73&lt;&gt;1)),
IF(Import.TipoArredondamento&lt;&gt;"TransfereGOV",
ROUND(OFFSET($P73,0,AJ$13),15-13*ORÇAMENTO!$AF$7)/$H73*OFFSET(ORÇAMENTO!$X$15,ROW(AJ73)-ROW(AJ$15),0),
ROUND(ROUND(OFFSET($P73,0,AJ$13),15-13*ORÇAMENTO!$AF$7)*OFFSET(ORÇAMENTO!$W$15,ROW(AJ73)-ROW(AJ$15),0),15-13*ORÇAMENTO!$AF$11)),0)</f>
        <v>0</v>
      </c>
      <c r="AK73" s="546">
        <f ca="1">IF(AND($D73="Serviço",AK$12&lt;&gt;0,$H73&gt;0,OR(AUTOEVENTO&lt;&gt;"manual",$M73&lt;&gt;1)),
IF(Import.TipoArredondamento&lt;&gt;"TransfereGOV",
ROUND(OFFSET($P73,0,AK$13),15-13*ORÇAMENTO!$AF$7)/$H73*OFFSET(ORÇAMENTO!$X$15,ROW(AK73)-ROW(AK$15),0),
ROUND(ROUND(OFFSET($P73,0,AK$13),15-13*ORÇAMENTO!$AF$7)*OFFSET(ORÇAMENTO!$W$15,ROW(AK73)-ROW(AK$15),0),15-13*ORÇAMENTO!$AF$11)),0)</f>
        <v>0</v>
      </c>
      <c r="AM73" s="181">
        <f ca="1">IF($D73&lt;&gt;"Serviço",0,IF(AND(AUTOEVENTO="Manual",$M73=1),0,IF(OFFSET(CRONOPLE!$F$14,$M73,AM$13)="",10^12,OFFSET(CRONOPLE!$F$14,$M73,AM$13))))</f>
        <v>1000000000000</v>
      </c>
      <c r="AN73" s="181">
        <f ca="1">IF($D73&lt;&gt;"Serviço",0,IF(AND(AUTOEVENTO="Manual",$M73=1),0,IF(OFFSET(CRONOPLE!$F$14,$M73,AN$13)="",10^12,OFFSET(CRONOPLE!$F$14,$M73,AN$13))))</f>
        <v>1000000000000</v>
      </c>
      <c r="AO73" s="181">
        <f ca="1">IF($D73&lt;&gt;"Serviço",0,IF(AND(AUTOEVENTO="Manual",$M73=1),0,IF(OFFSET(CRONOPLE!$F$14,$M73,AO$13)="",10^12,OFFSET(CRONOPLE!$F$14,$M73,AO$13))))</f>
        <v>1000000000000</v>
      </c>
      <c r="AP73" s="181">
        <f ca="1">IF($D73&lt;&gt;"Serviço",0,IF(AND(AUTOEVENTO="Manual",$M73=1),0,IF(OFFSET(CRONOPLE!$F$14,$M73,AP$13)="",10^12,OFFSET(CRONOPLE!$F$14,$M73,AP$13))))</f>
        <v>1000000000000</v>
      </c>
      <c r="AQ73" s="181">
        <f ca="1">IF($D73&lt;&gt;"Serviço",0,IF(AND(AUTOEVENTO="Manual",$M73=1),0,IF(OFFSET(CRONOPLE!$F$14,$M73,AQ$13)="",10^12,OFFSET(CRONOPLE!$F$14,$M73,AQ$13))))</f>
        <v>1000000000000</v>
      </c>
      <c r="AR73" s="181">
        <f ca="1">IF($D73&lt;&gt;"Serviço",0,IF(AND(AUTOEVENTO="Manual",$M73=1),0,IF(OFFSET(CRONOPLE!$F$14,$M73,AR$13)="",10^12,OFFSET(CRONOPLE!$F$14,$M73,AR$13))))</f>
        <v>1000000000000</v>
      </c>
      <c r="AS73" s="181">
        <f ca="1">IF($D73&lt;&gt;"Serviço",0,IF(AND(AUTOEVENTO="Manual",$M73=1),0,IF(OFFSET(CRONOPLE!$F$14,$M73,AS$13)="",10^12,OFFSET(CRONOPLE!$F$14,$M73,AS$13))))</f>
        <v>1000000000000</v>
      </c>
      <c r="AT73" s="181">
        <f ca="1">IF($D73&lt;&gt;"Serviço",0,IF(AND(AUTOEVENTO="Manual",$M73=1),0,IF(OFFSET(CRONOPLE!$F$14,$M73,AT$13)="",10^12,OFFSET(CRONOPLE!$F$14,$M73,AT$13))))</f>
        <v>1000000000000</v>
      </c>
      <c r="AU73" s="181">
        <f ca="1">IF($D73&lt;&gt;"Serviço",0,IF(AND(AUTOEVENTO="Manual",$M73=1),0,IF(OFFSET(CRONOPLE!$F$14,$M73,AU$13)="",10^12,OFFSET(CRONOPLE!$F$14,$M73,AU$13))))</f>
        <v>1000000000000</v>
      </c>
      <c r="AV73" s="181">
        <f ca="1">IF($D73&lt;&gt;"Serviço",0,IF(AND(AUTOEVENTO="Manual",$M73=1),0,IF(OFFSET(CRONOPLE!$F$14,$M73,AV$13)="",10^12,OFFSET(CRONOPLE!$F$14,$M73,AV$13))))</f>
        <v>1000000000000</v>
      </c>
      <c r="AX73" s="182">
        <f ca="1">IF($D73&lt;&gt;"Serviço",0,IF(OR(AND(AUTOEVENTO="Manual",$M73=1),$M73&gt;(ROW(PLE.lastrow)-ROW(PLE.firstrow))),0,IF(OFFSET(PLE!$G$14,$M73,AX$13)="",10^12,OFFSET(PLE!$G$14,$M73,AX$13))))</f>
        <v>1000000000000</v>
      </c>
      <c r="AY73" s="182">
        <f ca="1">IF($D73&lt;&gt;"Serviço",0,IF(OR(AND(AUTOEVENTO="Manual",$M73=1),$M73&gt;(ROW(PLE.lastrow)-ROW(PLE.firstrow))),0,IF(OFFSET(PLE!$G$14,$M73,AY$13)="",10^12,OFFSET(PLE!$G$14,$M73,AY$13))))</f>
        <v>1000000000000</v>
      </c>
      <c r="AZ73" s="182">
        <f ca="1">IF($D73&lt;&gt;"Serviço",0,IF(OR(AND(AUTOEVENTO="Manual",$M73=1),$M73&gt;(ROW(PLE.lastrow)-ROW(PLE.firstrow))),0,IF(OFFSET(PLE!$G$14,$M73,AZ$13)="",10^12,OFFSET(PLE!$G$14,$M73,AZ$13))))</f>
        <v>1000000000000</v>
      </c>
      <c r="BA73" s="182">
        <f ca="1">IF($D73&lt;&gt;"Serviço",0,IF(OR(AND(AUTOEVENTO="Manual",$M73=1),$M73&gt;(ROW(PLE.lastrow)-ROW(PLE.firstrow))),0,IF(OFFSET(PLE!$G$14,$M73,BA$13)="",10^12,OFFSET(PLE!$G$14,$M73,BA$13))))</f>
        <v>1000000000000</v>
      </c>
      <c r="BB73" s="182">
        <f ca="1">IF($D73&lt;&gt;"Serviço",0,IF(OR(AND(AUTOEVENTO="Manual",$M73=1),$M73&gt;(ROW(PLE.lastrow)-ROW(PLE.firstrow))),0,IF(OFFSET(PLE!$G$14,$M73,BB$13)="",10^12,OFFSET(PLE!$G$14,$M73,BB$13))))</f>
        <v>1000000000000</v>
      </c>
      <c r="BC73" s="182">
        <f ca="1">IF($D73&lt;&gt;"Serviço",0,IF(OR(AND(AUTOEVENTO="Manual",$M73=1),$M73&gt;(ROW(PLE.lastrow)-ROW(PLE.firstrow))),0,IF(OFFSET(PLE!$G$14,$M73,BC$13)="",10^12,OFFSET(PLE!$G$14,$M73,BC$13))))</f>
        <v>1000000000000</v>
      </c>
      <c r="BD73" s="182">
        <f ca="1">IF($D73&lt;&gt;"Serviço",0,IF(OR(AND(AUTOEVENTO="Manual",$M73=1),$M73&gt;(ROW(PLE.lastrow)-ROW(PLE.firstrow))),0,IF(OFFSET(PLE!$G$14,$M73,BD$13)="",10^12,OFFSET(PLE!$G$14,$M73,BD$13))))</f>
        <v>1000000000000</v>
      </c>
      <c r="BE73" s="182">
        <f ca="1">IF($D73&lt;&gt;"Serviço",0,IF(OR(AND(AUTOEVENTO="Manual",$M73=1),$M73&gt;(ROW(PLE.lastrow)-ROW(PLE.firstrow))),0,IF(OFFSET(PLE!$G$14,$M73,BE$13)="",10^12,OFFSET(PLE!$G$14,$M73,BE$13))))</f>
        <v>1000000000000</v>
      </c>
      <c r="BF73" s="182">
        <f ca="1">IF($D73&lt;&gt;"Serviço",0,IF(OR(AND(AUTOEVENTO="Manual",$M73=1),$M73&gt;(ROW(PLE.lastrow)-ROW(PLE.firstrow))),0,IF(OFFSET(PLE!$G$14,$M73,BF$13)="",10^12,OFFSET(PLE!$G$14,$M73,BF$13))))</f>
        <v>1000000000000</v>
      </c>
      <c r="BG73" s="182">
        <f ca="1">IF($D73&lt;&gt;"Serviço",0,IF(OR(AND(AUTOEVENTO="Manual",$M73=1),$M73&gt;(ROW(PLE.lastrow)-ROW(PLE.firstrow))),0,IF(OFFSET(PLE!$G$14,$M73,BG$13)="",10^12,OFFSET(PLE!$G$14,$M73,BG$13))))</f>
        <v>1000000000000</v>
      </c>
    </row>
    <row r="74" spans="1:59" ht="25.5" x14ac:dyDescent="0.2">
      <c r="A74" s="7" t="str">
        <f t="shared" ref="A74:A83" ca="1" si="11">IF(AUTOEVENTO="Manual",IF(K74&lt;&gt;"",MIN(VALUE(LEFT(K74,FIND(".",K74)-1)),COUNTA(EVENTOS.Lista)),0),IF(OR($B74&gt;AUTOEVENTO,$B74="S",$B74=0),SUBSTITUTE(OFFSET($A74,-1,0),IF($D74="Serviço",".",""),""),ROW(A74)-ROW($A$15)&amp;"."))</f>
        <v>56</v>
      </c>
      <c r="B74" s="7" t="str">
        <f ca="1">OFFSET(ORÇAMENTO!C$15,ROW(B74)-ROW(B$15),0)</f>
        <v>S</v>
      </c>
      <c r="C74" s="7" t="str">
        <f ca="1">OFFSET(ORÇAMENTO!L$15,ROW(C74)-ROW(C$15),0)</f>
        <v>F</v>
      </c>
      <c r="D74" s="118" t="str">
        <f ca="1">OFFSET(ORÇAMENTO!N$15,ROW(D74)-ROW(D$15),0)</f>
        <v>Serviço</v>
      </c>
      <c r="E74" s="119" t="str">
        <f ca="1">OFFSET(ORÇAMENTO!O$15,ROW(E74)-ROW(E$15),0)</f>
        <v>5.1.3.</v>
      </c>
      <c r="F74" s="172" t="str">
        <f ca="1">OFFSET(ORÇAMENTO!R$15,ROW(F74)-ROW(F$15),0)</f>
        <v>RUFO INTERNO/EXTERNO DE CHAPA DE ACO GALVANIZADA NUM 24, CORTE 25 CM</v>
      </c>
      <c r="G74" s="173" t="str">
        <f ca="1">IF($D74&lt;&gt;"Serviço","",OFFSET(ORÇAMENTO!S$15,ROW(G74)-ROW(G$15),0))</f>
        <v>M</v>
      </c>
      <c r="H74" s="124">
        <f ca="1">IF($D74&lt;&gt;"Serviço",0,IF(ACOMPANHAMENTO="BM",ROUND(OFFSET(ORÇAMENTO!AJ$15,ROW(H74)-ROW(H$15),0),15-13*ORÇAMENTO!$AF$7),SUMPRODUCT(($Q$12:$AA$12&lt;&gt;"")*ROUND($Q74:$AA74,15-13*ORÇAMENTO!$AF$7))))</f>
        <v>4.3</v>
      </c>
      <c r="I74" s="561" t="s">
        <v>542</v>
      </c>
      <c r="K74" s="174"/>
      <c r="L74" s="175" t="s">
        <v>255</v>
      </c>
      <c r="M74" s="176">
        <f ca="1">IF($D74&lt;&gt;"Serviço","",IF(AUTOEVENTO="manual",$A74,IF(ISERROR(MATCH($A74,$A$15:OFFSET($A74,-1,0),0)),MAX($M$15:OFFSET(M74,-1,0))+1,INDEX($M$15:OFFSET(M74,-1,0),MATCH($A74,$A$15:OFFSET($A74,-1,0),0)))))</f>
        <v>12</v>
      </c>
      <c r="N74" s="177" t="str">
        <f ca="1">IF($D74&lt;&gt;"Serviço","",IF(AUTOEVENTO="Manual",IF($A74=0,"&lt;-- defina o número do agrupador",OFFSET(EVENTOS!$D$14,$A74,0)),OFFSET($F$15,$A74,0)))</f>
        <v xml:space="preserve">COBERTURA </v>
      </c>
      <c r="O74" s="178"/>
      <c r="Q74" s="178"/>
      <c r="R74" s="179"/>
      <c r="S74" s="179"/>
      <c r="T74" s="179"/>
      <c r="U74" s="179"/>
      <c r="V74" s="179"/>
      <c r="W74" s="179"/>
      <c r="X74" s="179"/>
      <c r="Y74" s="179"/>
      <c r="Z74" s="180"/>
      <c r="AB74" s="544">
        <f ca="1">IF(AND($D74="Serviço",AB$12&lt;&gt;0,$H74&gt;0,OR(AUTOEVENTO&lt;&gt;"manual",$M74&lt;&gt;1)),
IF(Import.TipoArredondamento&lt;&gt;"TransfereGOV",
ROUND(OFFSET($P74,0,AB$13),15-13*ORÇAMENTO!$AF$7)/$H74*OFFSET(ORÇAMENTO!$X$15,ROW(AB74)-ROW(AB$15),0),
ROUND(ROUND(OFFSET($P74,0,AB$13),15-13*ORÇAMENTO!$AF$7)*OFFSET(ORÇAMENTO!$W$15,ROW(AB74)-ROW(AB$15),0),15-13*ORÇAMENTO!$AF$11)),0)</f>
        <v>0</v>
      </c>
      <c r="AC74" s="545">
        <f ca="1">IF(AND($D74="Serviço",AC$12&lt;&gt;0,$H74&gt;0,OR(AUTOEVENTO&lt;&gt;"manual",$M74&lt;&gt;1)),
IF(Import.TipoArredondamento&lt;&gt;"TransfereGOV",
ROUND(OFFSET($P74,0,AC$13),15-13*ORÇAMENTO!$AF$7)/$H74*OFFSET(ORÇAMENTO!$X$15,ROW(AC74)-ROW(AC$15),0),
ROUND(ROUND(OFFSET($P74,0,AC$13),15-13*ORÇAMENTO!$AF$7)*OFFSET(ORÇAMENTO!$W$15,ROW(AC74)-ROW(AC$15),0),15-13*ORÇAMENTO!$AF$11)),0)</f>
        <v>0</v>
      </c>
      <c r="AD74" s="545">
        <f ca="1">IF(AND($D74="Serviço",AD$12&lt;&gt;0,$H74&gt;0,OR(AUTOEVENTO&lt;&gt;"manual",$M74&lt;&gt;1)),
IF(Import.TipoArredondamento&lt;&gt;"TransfereGOV",
ROUND(OFFSET($P74,0,AD$13),15-13*ORÇAMENTO!$AF$7)/$H74*OFFSET(ORÇAMENTO!$X$15,ROW(AD74)-ROW(AD$15),0),
ROUND(ROUND(OFFSET($P74,0,AD$13),15-13*ORÇAMENTO!$AF$7)*OFFSET(ORÇAMENTO!$W$15,ROW(AD74)-ROW(AD$15),0),15-13*ORÇAMENTO!$AF$11)),0)</f>
        <v>0</v>
      </c>
      <c r="AE74" s="545">
        <f ca="1">IF(AND($D74="Serviço",AE$12&lt;&gt;0,$H74&gt;0,OR(AUTOEVENTO&lt;&gt;"manual",$M74&lt;&gt;1)),
IF(Import.TipoArredondamento&lt;&gt;"TransfereGOV",
ROUND(OFFSET($P74,0,AE$13),15-13*ORÇAMENTO!$AF$7)/$H74*OFFSET(ORÇAMENTO!$X$15,ROW(AE74)-ROW(AE$15),0),
ROUND(ROUND(OFFSET($P74,0,AE$13),15-13*ORÇAMENTO!$AF$7)*OFFSET(ORÇAMENTO!$W$15,ROW(AE74)-ROW(AE$15),0),15-13*ORÇAMENTO!$AF$11)),0)</f>
        <v>0</v>
      </c>
      <c r="AF74" s="545">
        <f ca="1">IF(AND($D74="Serviço",AF$12&lt;&gt;0,$H74&gt;0,OR(AUTOEVENTO&lt;&gt;"manual",$M74&lt;&gt;1)),
IF(Import.TipoArredondamento&lt;&gt;"TransfereGOV",
ROUND(OFFSET($P74,0,AF$13),15-13*ORÇAMENTO!$AF$7)/$H74*OFFSET(ORÇAMENTO!$X$15,ROW(AF74)-ROW(AF$15),0),
ROUND(ROUND(OFFSET($P74,0,AF$13),15-13*ORÇAMENTO!$AF$7)*OFFSET(ORÇAMENTO!$W$15,ROW(AF74)-ROW(AF$15),0),15-13*ORÇAMENTO!$AF$11)),0)</f>
        <v>0</v>
      </c>
      <c r="AG74" s="545">
        <f ca="1">IF(AND($D74="Serviço",AG$12&lt;&gt;0,$H74&gt;0,OR(AUTOEVENTO&lt;&gt;"manual",$M74&lt;&gt;1)),
IF(Import.TipoArredondamento&lt;&gt;"TransfereGOV",
ROUND(OFFSET($P74,0,AG$13),15-13*ORÇAMENTO!$AF$7)/$H74*OFFSET(ORÇAMENTO!$X$15,ROW(AG74)-ROW(AG$15),0),
ROUND(ROUND(OFFSET($P74,0,AG$13),15-13*ORÇAMENTO!$AF$7)*OFFSET(ORÇAMENTO!$W$15,ROW(AG74)-ROW(AG$15),0),15-13*ORÇAMENTO!$AF$11)),0)</f>
        <v>0</v>
      </c>
      <c r="AH74" s="545">
        <f ca="1">IF(AND($D74="Serviço",AH$12&lt;&gt;0,$H74&gt;0,OR(AUTOEVENTO&lt;&gt;"manual",$M74&lt;&gt;1)),
IF(Import.TipoArredondamento&lt;&gt;"TransfereGOV",
ROUND(OFFSET($P74,0,AH$13),15-13*ORÇAMENTO!$AF$7)/$H74*OFFSET(ORÇAMENTO!$X$15,ROW(AH74)-ROW(AH$15),0),
ROUND(ROUND(OFFSET($P74,0,AH$13),15-13*ORÇAMENTO!$AF$7)*OFFSET(ORÇAMENTO!$W$15,ROW(AH74)-ROW(AH$15),0),15-13*ORÇAMENTO!$AF$11)),0)</f>
        <v>0</v>
      </c>
      <c r="AI74" s="545">
        <f ca="1">IF(AND($D74="Serviço",AI$12&lt;&gt;0,$H74&gt;0,OR(AUTOEVENTO&lt;&gt;"manual",$M74&lt;&gt;1)),
IF(Import.TipoArredondamento&lt;&gt;"TransfereGOV",
ROUND(OFFSET($P74,0,AI$13),15-13*ORÇAMENTO!$AF$7)/$H74*OFFSET(ORÇAMENTO!$X$15,ROW(AI74)-ROW(AI$15),0),
ROUND(ROUND(OFFSET($P74,0,AI$13),15-13*ORÇAMENTO!$AF$7)*OFFSET(ORÇAMENTO!$W$15,ROW(AI74)-ROW(AI$15),0),15-13*ORÇAMENTO!$AF$11)),0)</f>
        <v>0</v>
      </c>
      <c r="AJ74" s="545">
        <f ca="1">IF(AND($D74="Serviço",AJ$12&lt;&gt;0,$H74&gt;0,OR(AUTOEVENTO&lt;&gt;"manual",$M74&lt;&gt;1)),
IF(Import.TipoArredondamento&lt;&gt;"TransfereGOV",
ROUND(OFFSET($P74,0,AJ$13),15-13*ORÇAMENTO!$AF$7)/$H74*OFFSET(ORÇAMENTO!$X$15,ROW(AJ74)-ROW(AJ$15),0),
ROUND(ROUND(OFFSET($P74,0,AJ$13),15-13*ORÇAMENTO!$AF$7)*OFFSET(ORÇAMENTO!$W$15,ROW(AJ74)-ROW(AJ$15),0),15-13*ORÇAMENTO!$AF$11)),0)</f>
        <v>0</v>
      </c>
      <c r="AK74" s="546">
        <f ca="1">IF(AND($D74="Serviço",AK$12&lt;&gt;0,$H74&gt;0,OR(AUTOEVENTO&lt;&gt;"manual",$M74&lt;&gt;1)),
IF(Import.TipoArredondamento&lt;&gt;"TransfereGOV",
ROUND(OFFSET($P74,0,AK$13),15-13*ORÇAMENTO!$AF$7)/$H74*OFFSET(ORÇAMENTO!$X$15,ROW(AK74)-ROW(AK$15),0),
ROUND(ROUND(OFFSET($P74,0,AK$13),15-13*ORÇAMENTO!$AF$7)*OFFSET(ORÇAMENTO!$W$15,ROW(AK74)-ROW(AK$15),0),15-13*ORÇAMENTO!$AF$11)),0)</f>
        <v>0</v>
      </c>
      <c r="AM74" s="181">
        <f ca="1">IF($D74&lt;&gt;"Serviço",0,IF(AND(AUTOEVENTO="Manual",$M74=1),0,IF(OFFSET(CRONOPLE!$F$14,$M74,AM$13)="",10^12,OFFSET(CRONOPLE!$F$14,$M74,AM$13))))</f>
        <v>1000000000000</v>
      </c>
      <c r="AN74" s="181">
        <f ca="1">IF($D74&lt;&gt;"Serviço",0,IF(AND(AUTOEVENTO="Manual",$M74=1),0,IF(OFFSET(CRONOPLE!$F$14,$M74,AN$13)="",10^12,OFFSET(CRONOPLE!$F$14,$M74,AN$13))))</f>
        <v>1000000000000</v>
      </c>
      <c r="AO74" s="181">
        <f ca="1">IF($D74&lt;&gt;"Serviço",0,IF(AND(AUTOEVENTO="Manual",$M74=1),0,IF(OFFSET(CRONOPLE!$F$14,$M74,AO$13)="",10^12,OFFSET(CRONOPLE!$F$14,$M74,AO$13))))</f>
        <v>1000000000000</v>
      </c>
      <c r="AP74" s="181">
        <f ca="1">IF($D74&lt;&gt;"Serviço",0,IF(AND(AUTOEVENTO="Manual",$M74=1),0,IF(OFFSET(CRONOPLE!$F$14,$M74,AP$13)="",10^12,OFFSET(CRONOPLE!$F$14,$M74,AP$13))))</f>
        <v>1000000000000</v>
      </c>
      <c r="AQ74" s="181">
        <f ca="1">IF($D74&lt;&gt;"Serviço",0,IF(AND(AUTOEVENTO="Manual",$M74=1),0,IF(OFFSET(CRONOPLE!$F$14,$M74,AQ$13)="",10^12,OFFSET(CRONOPLE!$F$14,$M74,AQ$13))))</f>
        <v>1000000000000</v>
      </c>
      <c r="AR74" s="181">
        <f ca="1">IF($D74&lt;&gt;"Serviço",0,IF(AND(AUTOEVENTO="Manual",$M74=1),0,IF(OFFSET(CRONOPLE!$F$14,$M74,AR$13)="",10^12,OFFSET(CRONOPLE!$F$14,$M74,AR$13))))</f>
        <v>1000000000000</v>
      </c>
      <c r="AS74" s="181">
        <f ca="1">IF($D74&lt;&gt;"Serviço",0,IF(AND(AUTOEVENTO="Manual",$M74=1),0,IF(OFFSET(CRONOPLE!$F$14,$M74,AS$13)="",10^12,OFFSET(CRONOPLE!$F$14,$M74,AS$13))))</f>
        <v>1000000000000</v>
      </c>
      <c r="AT74" s="181">
        <f ca="1">IF($D74&lt;&gt;"Serviço",0,IF(AND(AUTOEVENTO="Manual",$M74=1),0,IF(OFFSET(CRONOPLE!$F$14,$M74,AT$13)="",10^12,OFFSET(CRONOPLE!$F$14,$M74,AT$13))))</f>
        <v>1000000000000</v>
      </c>
      <c r="AU74" s="181">
        <f ca="1">IF($D74&lt;&gt;"Serviço",0,IF(AND(AUTOEVENTO="Manual",$M74=1),0,IF(OFFSET(CRONOPLE!$F$14,$M74,AU$13)="",10^12,OFFSET(CRONOPLE!$F$14,$M74,AU$13))))</f>
        <v>1000000000000</v>
      </c>
      <c r="AV74" s="181">
        <f ca="1">IF($D74&lt;&gt;"Serviço",0,IF(AND(AUTOEVENTO="Manual",$M74=1),0,IF(OFFSET(CRONOPLE!$F$14,$M74,AV$13)="",10^12,OFFSET(CRONOPLE!$F$14,$M74,AV$13))))</f>
        <v>1000000000000</v>
      </c>
      <c r="AX74" s="182">
        <f ca="1">IF($D74&lt;&gt;"Serviço",0,IF(OR(AND(AUTOEVENTO="Manual",$M74=1),$M74&gt;(ROW(PLE.lastrow)-ROW(PLE.firstrow))),0,IF(OFFSET(PLE!$G$14,$M74,AX$13)="",10^12,OFFSET(PLE!$G$14,$M74,AX$13))))</f>
        <v>1000000000000</v>
      </c>
      <c r="AY74" s="182">
        <f ca="1">IF($D74&lt;&gt;"Serviço",0,IF(OR(AND(AUTOEVENTO="Manual",$M74=1),$M74&gt;(ROW(PLE.lastrow)-ROW(PLE.firstrow))),0,IF(OFFSET(PLE!$G$14,$M74,AY$13)="",10^12,OFFSET(PLE!$G$14,$M74,AY$13))))</f>
        <v>1000000000000</v>
      </c>
      <c r="AZ74" s="182">
        <f ca="1">IF($D74&lt;&gt;"Serviço",0,IF(OR(AND(AUTOEVENTO="Manual",$M74=1),$M74&gt;(ROW(PLE.lastrow)-ROW(PLE.firstrow))),0,IF(OFFSET(PLE!$G$14,$M74,AZ$13)="",10^12,OFFSET(PLE!$G$14,$M74,AZ$13))))</f>
        <v>1000000000000</v>
      </c>
      <c r="BA74" s="182">
        <f ca="1">IF($D74&lt;&gt;"Serviço",0,IF(OR(AND(AUTOEVENTO="Manual",$M74=1),$M74&gt;(ROW(PLE.lastrow)-ROW(PLE.firstrow))),0,IF(OFFSET(PLE!$G$14,$M74,BA$13)="",10^12,OFFSET(PLE!$G$14,$M74,BA$13))))</f>
        <v>1000000000000</v>
      </c>
      <c r="BB74" s="182">
        <f ca="1">IF($D74&lt;&gt;"Serviço",0,IF(OR(AND(AUTOEVENTO="Manual",$M74=1),$M74&gt;(ROW(PLE.lastrow)-ROW(PLE.firstrow))),0,IF(OFFSET(PLE!$G$14,$M74,BB$13)="",10^12,OFFSET(PLE!$G$14,$M74,BB$13))))</f>
        <v>1000000000000</v>
      </c>
      <c r="BC74" s="182">
        <f ca="1">IF($D74&lt;&gt;"Serviço",0,IF(OR(AND(AUTOEVENTO="Manual",$M74=1),$M74&gt;(ROW(PLE.lastrow)-ROW(PLE.firstrow))),0,IF(OFFSET(PLE!$G$14,$M74,BC$13)="",10^12,OFFSET(PLE!$G$14,$M74,BC$13))))</f>
        <v>1000000000000</v>
      </c>
      <c r="BD74" s="182">
        <f ca="1">IF($D74&lt;&gt;"Serviço",0,IF(OR(AND(AUTOEVENTO="Manual",$M74=1),$M74&gt;(ROW(PLE.lastrow)-ROW(PLE.firstrow))),0,IF(OFFSET(PLE!$G$14,$M74,BD$13)="",10^12,OFFSET(PLE!$G$14,$M74,BD$13))))</f>
        <v>1000000000000</v>
      </c>
      <c r="BE74" s="182">
        <f ca="1">IF($D74&lt;&gt;"Serviço",0,IF(OR(AND(AUTOEVENTO="Manual",$M74=1),$M74&gt;(ROW(PLE.lastrow)-ROW(PLE.firstrow))),0,IF(OFFSET(PLE!$G$14,$M74,BE$13)="",10^12,OFFSET(PLE!$G$14,$M74,BE$13))))</f>
        <v>1000000000000</v>
      </c>
      <c r="BF74" s="182">
        <f ca="1">IF($D74&lt;&gt;"Serviço",0,IF(OR(AND(AUTOEVENTO="Manual",$M74=1),$M74&gt;(ROW(PLE.lastrow)-ROW(PLE.firstrow))),0,IF(OFFSET(PLE!$G$14,$M74,BF$13)="",10^12,OFFSET(PLE!$G$14,$M74,BF$13))))</f>
        <v>1000000000000</v>
      </c>
      <c r="BG74" s="182">
        <f ca="1">IF($D74&lt;&gt;"Serviço",0,IF(OR(AND(AUTOEVENTO="Manual",$M74=1),$M74&gt;(ROW(PLE.lastrow)-ROW(PLE.firstrow))),0,IF(OFFSET(PLE!$G$14,$M74,BG$13)="",10^12,OFFSET(PLE!$G$14,$M74,BG$13))))</f>
        <v>1000000000000</v>
      </c>
    </row>
    <row r="75" spans="1:59" ht="38.25" x14ac:dyDescent="0.2">
      <c r="A75" s="7" t="str">
        <f t="shared" ca="1" si="11"/>
        <v>56</v>
      </c>
      <c r="B75" s="7" t="str">
        <f ca="1">OFFSET(ORÇAMENTO!C$15,ROW(B75)-ROW(B$15),0)</f>
        <v>S</v>
      </c>
      <c r="C75" s="7" t="str">
        <f ca="1">OFFSET(ORÇAMENTO!L$15,ROW(C75)-ROW(C$15),0)</f>
        <v>F</v>
      </c>
      <c r="D75" s="118" t="str">
        <f ca="1">OFFSET(ORÇAMENTO!N$15,ROW(D75)-ROW(D$15),0)</f>
        <v>Serviço</v>
      </c>
      <c r="E75" s="119" t="str">
        <f ca="1">OFFSET(ORÇAMENTO!O$15,ROW(E75)-ROW(E$15),0)</f>
        <v>5.1.4.</v>
      </c>
      <c r="F75" s="172" t="str">
        <f ca="1">OFFSET(ORÇAMENTO!R$15,ROW(F75)-ROW(F$15),0)</f>
        <v>LAJE PRÉ-MOLDADA UNIDIRECIONAL, BIAPOIADA, PARA FORRO, ENCHIMENTO EM CERÂMICA, VIGOTA TRELIÇADA, ALTURA TOTAL DA LAJE "LT" = 12 CM (ENCHIMENTO+CAPA) = (8+4). AF_08/2025</v>
      </c>
      <c r="G75" s="173" t="str">
        <f ca="1">IF($D75&lt;&gt;"Serviço","",OFFSET(ORÇAMENTO!S$15,ROW(G75)-ROW(G$15),0))</f>
        <v>M2</v>
      </c>
      <c r="H75" s="124">
        <f ca="1">IF($D75&lt;&gt;"Serviço",0,IF(ACOMPANHAMENTO="BM",ROUND(OFFSET(ORÇAMENTO!AJ$15,ROW(H75)-ROW(H$15),0),15-13*ORÇAMENTO!$AF$7),SUMPRODUCT(($Q$12:$AA$12&lt;&gt;"")*ROUND($Q75:$AA75,15-13*ORÇAMENTO!$AF$7))))</f>
        <v>5.58</v>
      </c>
      <c r="I75" s="561" t="s">
        <v>540</v>
      </c>
      <c r="K75" s="174"/>
      <c r="L75" s="175" t="s">
        <v>255</v>
      </c>
      <c r="M75" s="176">
        <f ca="1">IF($D75&lt;&gt;"Serviço","",IF(AUTOEVENTO="manual",$A75,IF(ISERROR(MATCH($A75,$A$15:OFFSET($A75,-1,0),0)),MAX($M$15:OFFSET(M75,-1,0))+1,INDEX($M$15:OFFSET(M75,-1,0),MATCH($A75,$A$15:OFFSET($A75,-1,0),0)))))</f>
        <v>12</v>
      </c>
      <c r="N75" s="177" t="str">
        <f ca="1">IF($D75&lt;&gt;"Serviço","",IF(AUTOEVENTO="Manual",IF($A75=0,"&lt;-- defina o número do agrupador",OFFSET(EVENTOS!$D$14,$A75,0)),OFFSET($F$15,$A75,0)))</f>
        <v xml:space="preserve">COBERTURA </v>
      </c>
      <c r="O75" s="178"/>
      <c r="Q75" s="178"/>
      <c r="R75" s="179"/>
      <c r="S75" s="179"/>
      <c r="T75" s="179"/>
      <c r="U75" s="179"/>
      <c r="V75" s="179"/>
      <c r="W75" s="179"/>
      <c r="X75" s="179"/>
      <c r="Y75" s="179"/>
      <c r="Z75" s="180"/>
      <c r="AB75" s="544">
        <f ca="1">IF(AND($D75="Serviço",AB$12&lt;&gt;0,$H75&gt;0,OR(AUTOEVENTO&lt;&gt;"manual",$M75&lt;&gt;1)),
IF(Import.TipoArredondamento&lt;&gt;"TransfereGOV",
ROUND(OFFSET($P75,0,AB$13),15-13*ORÇAMENTO!$AF$7)/$H75*OFFSET(ORÇAMENTO!$X$15,ROW(AB75)-ROW(AB$15),0),
ROUND(ROUND(OFFSET($P75,0,AB$13),15-13*ORÇAMENTO!$AF$7)*OFFSET(ORÇAMENTO!$W$15,ROW(AB75)-ROW(AB$15),0),15-13*ORÇAMENTO!$AF$11)),0)</f>
        <v>0</v>
      </c>
      <c r="AC75" s="545">
        <f ca="1">IF(AND($D75="Serviço",AC$12&lt;&gt;0,$H75&gt;0,OR(AUTOEVENTO&lt;&gt;"manual",$M75&lt;&gt;1)),
IF(Import.TipoArredondamento&lt;&gt;"TransfereGOV",
ROUND(OFFSET($P75,0,AC$13),15-13*ORÇAMENTO!$AF$7)/$H75*OFFSET(ORÇAMENTO!$X$15,ROW(AC75)-ROW(AC$15),0),
ROUND(ROUND(OFFSET($P75,0,AC$13),15-13*ORÇAMENTO!$AF$7)*OFFSET(ORÇAMENTO!$W$15,ROW(AC75)-ROW(AC$15),0),15-13*ORÇAMENTO!$AF$11)),0)</f>
        <v>0</v>
      </c>
      <c r="AD75" s="545">
        <f ca="1">IF(AND($D75="Serviço",AD$12&lt;&gt;0,$H75&gt;0,OR(AUTOEVENTO&lt;&gt;"manual",$M75&lt;&gt;1)),
IF(Import.TipoArredondamento&lt;&gt;"TransfereGOV",
ROUND(OFFSET($P75,0,AD$13),15-13*ORÇAMENTO!$AF$7)/$H75*OFFSET(ORÇAMENTO!$X$15,ROW(AD75)-ROW(AD$15),0),
ROUND(ROUND(OFFSET($P75,0,AD$13),15-13*ORÇAMENTO!$AF$7)*OFFSET(ORÇAMENTO!$W$15,ROW(AD75)-ROW(AD$15),0),15-13*ORÇAMENTO!$AF$11)),0)</f>
        <v>0</v>
      </c>
      <c r="AE75" s="545">
        <f ca="1">IF(AND($D75="Serviço",AE$12&lt;&gt;0,$H75&gt;0,OR(AUTOEVENTO&lt;&gt;"manual",$M75&lt;&gt;1)),
IF(Import.TipoArredondamento&lt;&gt;"TransfereGOV",
ROUND(OFFSET($P75,0,AE$13),15-13*ORÇAMENTO!$AF$7)/$H75*OFFSET(ORÇAMENTO!$X$15,ROW(AE75)-ROW(AE$15),0),
ROUND(ROUND(OFFSET($P75,0,AE$13),15-13*ORÇAMENTO!$AF$7)*OFFSET(ORÇAMENTO!$W$15,ROW(AE75)-ROW(AE$15),0),15-13*ORÇAMENTO!$AF$11)),0)</f>
        <v>0</v>
      </c>
      <c r="AF75" s="545">
        <f ca="1">IF(AND($D75="Serviço",AF$12&lt;&gt;0,$H75&gt;0,OR(AUTOEVENTO&lt;&gt;"manual",$M75&lt;&gt;1)),
IF(Import.TipoArredondamento&lt;&gt;"TransfereGOV",
ROUND(OFFSET($P75,0,AF$13),15-13*ORÇAMENTO!$AF$7)/$H75*OFFSET(ORÇAMENTO!$X$15,ROW(AF75)-ROW(AF$15),0),
ROUND(ROUND(OFFSET($P75,0,AF$13),15-13*ORÇAMENTO!$AF$7)*OFFSET(ORÇAMENTO!$W$15,ROW(AF75)-ROW(AF$15),0),15-13*ORÇAMENTO!$AF$11)),0)</f>
        <v>0</v>
      </c>
      <c r="AG75" s="545">
        <f ca="1">IF(AND($D75="Serviço",AG$12&lt;&gt;0,$H75&gt;0,OR(AUTOEVENTO&lt;&gt;"manual",$M75&lt;&gt;1)),
IF(Import.TipoArredondamento&lt;&gt;"TransfereGOV",
ROUND(OFFSET($P75,0,AG$13),15-13*ORÇAMENTO!$AF$7)/$H75*OFFSET(ORÇAMENTO!$X$15,ROW(AG75)-ROW(AG$15),0),
ROUND(ROUND(OFFSET($P75,0,AG$13),15-13*ORÇAMENTO!$AF$7)*OFFSET(ORÇAMENTO!$W$15,ROW(AG75)-ROW(AG$15),0),15-13*ORÇAMENTO!$AF$11)),0)</f>
        <v>0</v>
      </c>
      <c r="AH75" s="545">
        <f ca="1">IF(AND($D75="Serviço",AH$12&lt;&gt;0,$H75&gt;0,OR(AUTOEVENTO&lt;&gt;"manual",$M75&lt;&gt;1)),
IF(Import.TipoArredondamento&lt;&gt;"TransfereGOV",
ROUND(OFFSET($P75,0,AH$13),15-13*ORÇAMENTO!$AF$7)/$H75*OFFSET(ORÇAMENTO!$X$15,ROW(AH75)-ROW(AH$15),0),
ROUND(ROUND(OFFSET($P75,0,AH$13),15-13*ORÇAMENTO!$AF$7)*OFFSET(ORÇAMENTO!$W$15,ROW(AH75)-ROW(AH$15),0),15-13*ORÇAMENTO!$AF$11)),0)</f>
        <v>0</v>
      </c>
      <c r="AI75" s="545">
        <f ca="1">IF(AND($D75="Serviço",AI$12&lt;&gt;0,$H75&gt;0,OR(AUTOEVENTO&lt;&gt;"manual",$M75&lt;&gt;1)),
IF(Import.TipoArredondamento&lt;&gt;"TransfereGOV",
ROUND(OFFSET($P75,0,AI$13),15-13*ORÇAMENTO!$AF$7)/$H75*OFFSET(ORÇAMENTO!$X$15,ROW(AI75)-ROW(AI$15),0),
ROUND(ROUND(OFFSET($P75,0,AI$13),15-13*ORÇAMENTO!$AF$7)*OFFSET(ORÇAMENTO!$W$15,ROW(AI75)-ROW(AI$15),0),15-13*ORÇAMENTO!$AF$11)),0)</f>
        <v>0</v>
      </c>
      <c r="AJ75" s="545">
        <f ca="1">IF(AND($D75="Serviço",AJ$12&lt;&gt;0,$H75&gt;0,OR(AUTOEVENTO&lt;&gt;"manual",$M75&lt;&gt;1)),
IF(Import.TipoArredondamento&lt;&gt;"TransfereGOV",
ROUND(OFFSET($P75,0,AJ$13),15-13*ORÇAMENTO!$AF$7)/$H75*OFFSET(ORÇAMENTO!$X$15,ROW(AJ75)-ROW(AJ$15),0),
ROUND(ROUND(OFFSET($P75,0,AJ$13),15-13*ORÇAMENTO!$AF$7)*OFFSET(ORÇAMENTO!$W$15,ROW(AJ75)-ROW(AJ$15),0),15-13*ORÇAMENTO!$AF$11)),0)</f>
        <v>0</v>
      </c>
      <c r="AK75" s="546">
        <f ca="1">IF(AND($D75="Serviço",AK$12&lt;&gt;0,$H75&gt;0,OR(AUTOEVENTO&lt;&gt;"manual",$M75&lt;&gt;1)),
IF(Import.TipoArredondamento&lt;&gt;"TransfereGOV",
ROUND(OFFSET($P75,0,AK$13),15-13*ORÇAMENTO!$AF$7)/$H75*OFFSET(ORÇAMENTO!$X$15,ROW(AK75)-ROW(AK$15),0),
ROUND(ROUND(OFFSET($P75,0,AK$13),15-13*ORÇAMENTO!$AF$7)*OFFSET(ORÇAMENTO!$W$15,ROW(AK75)-ROW(AK$15),0),15-13*ORÇAMENTO!$AF$11)),0)</f>
        <v>0</v>
      </c>
      <c r="AM75" s="181">
        <f ca="1">IF($D75&lt;&gt;"Serviço",0,IF(AND(AUTOEVENTO="Manual",$M75=1),0,IF(OFFSET(CRONOPLE!$F$14,$M75,AM$13)="",10^12,OFFSET(CRONOPLE!$F$14,$M75,AM$13))))</f>
        <v>1000000000000</v>
      </c>
      <c r="AN75" s="181">
        <f ca="1">IF($D75&lt;&gt;"Serviço",0,IF(AND(AUTOEVENTO="Manual",$M75=1),0,IF(OFFSET(CRONOPLE!$F$14,$M75,AN$13)="",10^12,OFFSET(CRONOPLE!$F$14,$M75,AN$13))))</f>
        <v>1000000000000</v>
      </c>
      <c r="AO75" s="181">
        <f ca="1">IF($D75&lt;&gt;"Serviço",0,IF(AND(AUTOEVENTO="Manual",$M75=1),0,IF(OFFSET(CRONOPLE!$F$14,$M75,AO$13)="",10^12,OFFSET(CRONOPLE!$F$14,$M75,AO$13))))</f>
        <v>1000000000000</v>
      </c>
      <c r="AP75" s="181">
        <f ca="1">IF($D75&lt;&gt;"Serviço",0,IF(AND(AUTOEVENTO="Manual",$M75=1),0,IF(OFFSET(CRONOPLE!$F$14,$M75,AP$13)="",10^12,OFFSET(CRONOPLE!$F$14,$M75,AP$13))))</f>
        <v>1000000000000</v>
      </c>
      <c r="AQ75" s="181">
        <f ca="1">IF($D75&lt;&gt;"Serviço",0,IF(AND(AUTOEVENTO="Manual",$M75=1),0,IF(OFFSET(CRONOPLE!$F$14,$M75,AQ$13)="",10^12,OFFSET(CRONOPLE!$F$14,$M75,AQ$13))))</f>
        <v>1000000000000</v>
      </c>
      <c r="AR75" s="181">
        <f ca="1">IF($D75&lt;&gt;"Serviço",0,IF(AND(AUTOEVENTO="Manual",$M75=1),0,IF(OFFSET(CRONOPLE!$F$14,$M75,AR$13)="",10^12,OFFSET(CRONOPLE!$F$14,$M75,AR$13))))</f>
        <v>1000000000000</v>
      </c>
      <c r="AS75" s="181">
        <f ca="1">IF($D75&lt;&gt;"Serviço",0,IF(AND(AUTOEVENTO="Manual",$M75=1),0,IF(OFFSET(CRONOPLE!$F$14,$M75,AS$13)="",10^12,OFFSET(CRONOPLE!$F$14,$M75,AS$13))))</f>
        <v>1000000000000</v>
      </c>
      <c r="AT75" s="181">
        <f ca="1">IF($D75&lt;&gt;"Serviço",0,IF(AND(AUTOEVENTO="Manual",$M75=1),0,IF(OFFSET(CRONOPLE!$F$14,$M75,AT$13)="",10^12,OFFSET(CRONOPLE!$F$14,$M75,AT$13))))</f>
        <v>1000000000000</v>
      </c>
      <c r="AU75" s="181">
        <f ca="1">IF($D75&lt;&gt;"Serviço",0,IF(AND(AUTOEVENTO="Manual",$M75=1),0,IF(OFFSET(CRONOPLE!$F$14,$M75,AU$13)="",10^12,OFFSET(CRONOPLE!$F$14,$M75,AU$13))))</f>
        <v>1000000000000</v>
      </c>
      <c r="AV75" s="181">
        <f ca="1">IF($D75&lt;&gt;"Serviço",0,IF(AND(AUTOEVENTO="Manual",$M75=1),0,IF(OFFSET(CRONOPLE!$F$14,$M75,AV$13)="",10^12,OFFSET(CRONOPLE!$F$14,$M75,AV$13))))</f>
        <v>1000000000000</v>
      </c>
      <c r="AX75" s="182">
        <f ca="1">IF($D75&lt;&gt;"Serviço",0,IF(OR(AND(AUTOEVENTO="Manual",$M75=1),$M75&gt;(ROW(PLE.lastrow)-ROW(PLE.firstrow))),0,IF(OFFSET(PLE!$G$14,$M75,AX$13)="",10^12,OFFSET(PLE!$G$14,$M75,AX$13))))</f>
        <v>1000000000000</v>
      </c>
      <c r="AY75" s="182">
        <f ca="1">IF($D75&lt;&gt;"Serviço",0,IF(OR(AND(AUTOEVENTO="Manual",$M75=1),$M75&gt;(ROW(PLE.lastrow)-ROW(PLE.firstrow))),0,IF(OFFSET(PLE!$G$14,$M75,AY$13)="",10^12,OFFSET(PLE!$G$14,$M75,AY$13))))</f>
        <v>1000000000000</v>
      </c>
      <c r="AZ75" s="182">
        <f ca="1">IF($D75&lt;&gt;"Serviço",0,IF(OR(AND(AUTOEVENTO="Manual",$M75=1),$M75&gt;(ROW(PLE.lastrow)-ROW(PLE.firstrow))),0,IF(OFFSET(PLE!$G$14,$M75,AZ$13)="",10^12,OFFSET(PLE!$G$14,$M75,AZ$13))))</f>
        <v>1000000000000</v>
      </c>
      <c r="BA75" s="182">
        <f ca="1">IF($D75&lt;&gt;"Serviço",0,IF(OR(AND(AUTOEVENTO="Manual",$M75=1),$M75&gt;(ROW(PLE.lastrow)-ROW(PLE.firstrow))),0,IF(OFFSET(PLE!$G$14,$M75,BA$13)="",10^12,OFFSET(PLE!$G$14,$M75,BA$13))))</f>
        <v>1000000000000</v>
      </c>
      <c r="BB75" s="182">
        <f ca="1">IF($D75&lt;&gt;"Serviço",0,IF(OR(AND(AUTOEVENTO="Manual",$M75=1),$M75&gt;(ROW(PLE.lastrow)-ROW(PLE.firstrow))),0,IF(OFFSET(PLE!$G$14,$M75,BB$13)="",10^12,OFFSET(PLE!$G$14,$M75,BB$13))))</f>
        <v>1000000000000</v>
      </c>
      <c r="BC75" s="182">
        <f ca="1">IF($D75&lt;&gt;"Serviço",0,IF(OR(AND(AUTOEVENTO="Manual",$M75=1),$M75&gt;(ROW(PLE.lastrow)-ROW(PLE.firstrow))),0,IF(OFFSET(PLE!$G$14,$M75,BC$13)="",10^12,OFFSET(PLE!$G$14,$M75,BC$13))))</f>
        <v>1000000000000</v>
      </c>
      <c r="BD75" s="182">
        <f ca="1">IF($D75&lt;&gt;"Serviço",0,IF(OR(AND(AUTOEVENTO="Manual",$M75=1),$M75&gt;(ROW(PLE.lastrow)-ROW(PLE.firstrow))),0,IF(OFFSET(PLE!$G$14,$M75,BD$13)="",10^12,OFFSET(PLE!$G$14,$M75,BD$13))))</f>
        <v>1000000000000</v>
      </c>
      <c r="BE75" s="182">
        <f ca="1">IF($D75&lt;&gt;"Serviço",0,IF(OR(AND(AUTOEVENTO="Manual",$M75=1),$M75&gt;(ROW(PLE.lastrow)-ROW(PLE.firstrow))),0,IF(OFFSET(PLE!$G$14,$M75,BE$13)="",10^12,OFFSET(PLE!$G$14,$M75,BE$13))))</f>
        <v>1000000000000</v>
      </c>
      <c r="BF75" s="182">
        <f ca="1">IF($D75&lt;&gt;"Serviço",0,IF(OR(AND(AUTOEVENTO="Manual",$M75=1),$M75&gt;(ROW(PLE.lastrow)-ROW(PLE.firstrow))),0,IF(OFFSET(PLE!$G$14,$M75,BF$13)="",10^12,OFFSET(PLE!$G$14,$M75,BF$13))))</f>
        <v>1000000000000</v>
      </c>
      <c r="BG75" s="182">
        <f ca="1">IF($D75&lt;&gt;"Serviço",0,IF(OR(AND(AUTOEVENTO="Manual",$M75=1),$M75&gt;(ROW(PLE.lastrow)-ROW(PLE.firstrow))),0,IF(OFFSET(PLE!$G$14,$M75,BG$13)="",10^12,OFFSET(PLE!$G$14,$M75,BG$13))))</f>
        <v>1000000000000</v>
      </c>
    </row>
    <row r="76" spans="1:59" ht="12.75" x14ac:dyDescent="0.2">
      <c r="A76" s="7" t="str">
        <f t="shared" ca="1" si="11"/>
        <v>56</v>
      </c>
      <c r="B76" s="7" t="str">
        <f ca="1">OFFSET(ORÇAMENTO!C$15,ROW(B76)-ROW(B$15),0)</f>
        <v>S</v>
      </c>
      <c r="C76" s="7" t="str">
        <f ca="1">OFFSET(ORÇAMENTO!L$15,ROW(C76)-ROW(C$15),0)</f>
        <v>F</v>
      </c>
      <c r="D76" s="118" t="str">
        <f ca="1">OFFSET(ORÇAMENTO!N$15,ROW(D76)-ROW(D$15),0)</f>
        <v>Serviço</v>
      </c>
      <c r="E76" s="119" t="str">
        <f ca="1">OFFSET(ORÇAMENTO!O$15,ROW(E76)-ROW(E$15),0)</f>
        <v>5.1.5.</v>
      </c>
      <c r="F76" s="172" t="str">
        <f ca="1">OFFSET(ORÇAMENTO!R$15,ROW(F76)-ROW(F$15),0)</f>
        <v>FECHAMENTO METÁLICO VERTICAL</v>
      </c>
      <c r="G76" s="173" t="str">
        <f ca="1">IF($D76&lt;&gt;"Serviço","",OFFSET(ORÇAMENTO!S$15,ROW(G76)-ROW(G$15),0))</f>
        <v>M2</v>
      </c>
      <c r="H76" s="124">
        <f ca="1">IF($D76&lt;&gt;"Serviço",0,IF(ACOMPANHAMENTO="BM",ROUND(OFFSET(ORÇAMENTO!AJ$15,ROW(H76)-ROW(H$15),0),15-13*ORÇAMENTO!$AF$7),SUMPRODUCT(($Q$12:$AA$12&lt;&gt;"")*ROUND($Q76:$AA76,15-13*ORÇAMENTO!$AF$7))))</f>
        <v>56.76</v>
      </c>
      <c r="I76" s="561" t="s">
        <v>541</v>
      </c>
      <c r="K76" s="174"/>
      <c r="L76" s="175" t="s">
        <v>255</v>
      </c>
      <c r="M76" s="176">
        <f ca="1">IF($D76&lt;&gt;"Serviço","",IF(AUTOEVENTO="manual",$A76,IF(ISERROR(MATCH($A76,$A$15:OFFSET($A76,-1,0),0)),MAX($M$15:OFFSET(M76,-1,0))+1,INDEX($M$15:OFFSET(M76,-1,0),MATCH($A76,$A$15:OFFSET($A76,-1,0),0)))))</f>
        <v>12</v>
      </c>
      <c r="N76" s="177" t="str">
        <f ca="1">IF($D76&lt;&gt;"Serviço","",IF(AUTOEVENTO="Manual",IF($A76=0,"&lt;-- defina o número do agrupador",OFFSET(EVENTOS!$D$14,$A76,0)),OFFSET($F$15,$A76,0)))</f>
        <v xml:space="preserve">COBERTURA </v>
      </c>
      <c r="O76" s="178"/>
      <c r="Q76" s="178"/>
      <c r="R76" s="179"/>
      <c r="S76" s="179"/>
      <c r="T76" s="179"/>
      <c r="U76" s="179"/>
      <c r="V76" s="179"/>
      <c r="W76" s="179"/>
      <c r="X76" s="179"/>
      <c r="Y76" s="179"/>
      <c r="Z76" s="180"/>
      <c r="AB76" s="544">
        <f ca="1">IF(AND($D76="Serviço",AB$12&lt;&gt;0,$H76&gt;0,OR(AUTOEVENTO&lt;&gt;"manual",$M76&lt;&gt;1)),
IF(Import.TipoArredondamento&lt;&gt;"TransfereGOV",
ROUND(OFFSET($P76,0,AB$13),15-13*ORÇAMENTO!$AF$7)/$H76*OFFSET(ORÇAMENTO!$X$15,ROW(AB76)-ROW(AB$15),0),
ROUND(ROUND(OFFSET($P76,0,AB$13),15-13*ORÇAMENTO!$AF$7)*OFFSET(ORÇAMENTO!$W$15,ROW(AB76)-ROW(AB$15),0),15-13*ORÇAMENTO!$AF$11)),0)</f>
        <v>0</v>
      </c>
      <c r="AC76" s="545">
        <f ca="1">IF(AND($D76="Serviço",AC$12&lt;&gt;0,$H76&gt;0,OR(AUTOEVENTO&lt;&gt;"manual",$M76&lt;&gt;1)),
IF(Import.TipoArredondamento&lt;&gt;"TransfereGOV",
ROUND(OFFSET($P76,0,AC$13),15-13*ORÇAMENTO!$AF$7)/$H76*OFFSET(ORÇAMENTO!$X$15,ROW(AC76)-ROW(AC$15),0),
ROUND(ROUND(OFFSET($P76,0,AC$13),15-13*ORÇAMENTO!$AF$7)*OFFSET(ORÇAMENTO!$W$15,ROW(AC76)-ROW(AC$15),0),15-13*ORÇAMENTO!$AF$11)),0)</f>
        <v>0</v>
      </c>
      <c r="AD76" s="545">
        <f ca="1">IF(AND($D76="Serviço",AD$12&lt;&gt;0,$H76&gt;0,OR(AUTOEVENTO&lt;&gt;"manual",$M76&lt;&gt;1)),
IF(Import.TipoArredondamento&lt;&gt;"TransfereGOV",
ROUND(OFFSET($P76,0,AD$13),15-13*ORÇAMENTO!$AF$7)/$H76*OFFSET(ORÇAMENTO!$X$15,ROW(AD76)-ROW(AD$15),0),
ROUND(ROUND(OFFSET($P76,0,AD$13),15-13*ORÇAMENTO!$AF$7)*OFFSET(ORÇAMENTO!$W$15,ROW(AD76)-ROW(AD$15),0),15-13*ORÇAMENTO!$AF$11)),0)</f>
        <v>0</v>
      </c>
      <c r="AE76" s="545">
        <f ca="1">IF(AND($D76="Serviço",AE$12&lt;&gt;0,$H76&gt;0,OR(AUTOEVENTO&lt;&gt;"manual",$M76&lt;&gt;1)),
IF(Import.TipoArredondamento&lt;&gt;"TransfereGOV",
ROUND(OFFSET($P76,0,AE$13),15-13*ORÇAMENTO!$AF$7)/$H76*OFFSET(ORÇAMENTO!$X$15,ROW(AE76)-ROW(AE$15),0),
ROUND(ROUND(OFFSET($P76,0,AE$13),15-13*ORÇAMENTO!$AF$7)*OFFSET(ORÇAMENTO!$W$15,ROW(AE76)-ROW(AE$15),0),15-13*ORÇAMENTO!$AF$11)),0)</f>
        <v>0</v>
      </c>
      <c r="AF76" s="545">
        <f ca="1">IF(AND($D76="Serviço",AF$12&lt;&gt;0,$H76&gt;0,OR(AUTOEVENTO&lt;&gt;"manual",$M76&lt;&gt;1)),
IF(Import.TipoArredondamento&lt;&gt;"TransfereGOV",
ROUND(OFFSET($P76,0,AF$13),15-13*ORÇAMENTO!$AF$7)/$H76*OFFSET(ORÇAMENTO!$X$15,ROW(AF76)-ROW(AF$15),0),
ROUND(ROUND(OFFSET($P76,0,AF$13),15-13*ORÇAMENTO!$AF$7)*OFFSET(ORÇAMENTO!$W$15,ROW(AF76)-ROW(AF$15),0),15-13*ORÇAMENTO!$AF$11)),0)</f>
        <v>0</v>
      </c>
      <c r="AG76" s="545">
        <f ca="1">IF(AND($D76="Serviço",AG$12&lt;&gt;0,$H76&gt;0,OR(AUTOEVENTO&lt;&gt;"manual",$M76&lt;&gt;1)),
IF(Import.TipoArredondamento&lt;&gt;"TransfereGOV",
ROUND(OFFSET($P76,0,AG$13),15-13*ORÇAMENTO!$AF$7)/$H76*OFFSET(ORÇAMENTO!$X$15,ROW(AG76)-ROW(AG$15),0),
ROUND(ROUND(OFFSET($P76,0,AG$13),15-13*ORÇAMENTO!$AF$7)*OFFSET(ORÇAMENTO!$W$15,ROW(AG76)-ROW(AG$15),0),15-13*ORÇAMENTO!$AF$11)),0)</f>
        <v>0</v>
      </c>
      <c r="AH76" s="545">
        <f ca="1">IF(AND($D76="Serviço",AH$12&lt;&gt;0,$H76&gt;0,OR(AUTOEVENTO&lt;&gt;"manual",$M76&lt;&gt;1)),
IF(Import.TipoArredondamento&lt;&gt;"TransfereGOV",
ROUND(OFFSET($P76,0,AH$13),15-13*ORÇAMENTO!$AF$7)/$H76*OFFSET(ORÇAMENTO!$X$15,ROW(AH76)-ROW(AH$15),0),
ROUND(ROUND(OFFSET($P76,0,AH$13),15-13*ORÇAMENTO!$AF$7)*OFFSET(ORÇAMENTO!$W$15,ROW(AH76)-ROW(AH$15),0),15-13*ORÇAMENTO!$AF$11)),0)</f>
        <v>0</v>
      </c>
      <c r="AI76" s="545">
        <f ca="1">IF(AND($D76="Serviço",AI$12&lt;&gt;0,$H76&gt;0,OR(AUTOEVENTO&lt;&gt;"manual",$M76&lt;&gt;1)),
IF(Import.TipoArredondamento&lt;&gt;"TransfereGOV",
ROUND(OFFSET($P76,0,AI$13),15-13*ORÇAMENTO!$AF$7)/$H76*OFFSET(ORÇAMENTO!$X$15,ROW(AI76)-ROW(AI$15),0),
ROUND(ROUND(OFFSET($P76,0,AI$13),15-13*ORÇAMENTO!$AF$7)*OFFSET(ORÇAMENTO!$W$15,ROW(AI76)-ROW(AI$15),0),15-13*ORÇAMENTO!$AF$11)),0)</f>
        <v>0</v>
      </c>
      <c r="AJ76" s="545">
        <f ca="1">IF(AND($D76="Serviço",AJ$12&lt;&gt;0,$H76&gt;0,OR(AUTOEVENTO&lt;&gt;"manual",$M76&lt;&gt;1)),
IF(Import.TipoArredondamento&lt;&gt;"TransfereGOV",
ROUND(OFFSET($P76,0,AJ$13),15-13*ORÇAMENTO!$AF$7)/$H76*OFFSET(ORÇAMENTO!$X$15,ROW(AJ76)-ROW(AJ$15),0),
ROUND(ROUND(OFFSET($P76,0,AJ$13),15-13*ORÇAMENTO!$AF$7)*OFFSET(ORÇAMENTO!$W$15,ROW(AJ76)-ROW(AJ$15),0),15-13*ORÇAMENTO!$AF$11)),0)</f>
        <v>0</v>
      </c>
      <c r="AK76" s="546">
        <f ca="1">IF(AND($D76="Serviço",AK$12&lt;&gt;0,$H76&gt;0,OR(AUTOEVENTO&lt;&gt;"manual",$M76&lt;&gt;1)),
IF(Import.TipoArredondamento&lt;&gt;"TransfereGOV",
ROUND(OFFSET($P76,0,AK$13),15-13*ORÇAMENTO!$AF$7)/$H76*OFFSET(ORÇAMENTO!$X$15,ROW(AK76)-ROW(AK$15),0),
ROUND(ROUND(OFFSET($P76,0,AK$13),15-13*ORÇAMENTO!$AF$7)*OFFSET(ORÇAMENTO!$W$15,ROW(AK76)-ROW(AK$15),0),15-13*ORÇAMENTO!$AF$11)),0)</f>
        <v>0</v>
      </c>
      <c r="AM76" s="181">
        <f ca="1">IF($D76&lt;&gt;"Serviço",0,IF(AND(AUTOEVENTO="Manual",$M76=1),0,IF(OFFSET(CRONOPLE!$F$14,$M76,AM$13)="",10^12,OFFSET(CRONOPLE!$F$14,$M76,AM$13))))</f>
        <v>1000000000000</v>
      </c>
      <c r="AN76" s="181">
        <f ca="1">IF($D76&lt;&gt;"Serviço",0,IF(AND(AUTOEVENTO="Manual",$M76=1),0,IF(OFFSET(CRONOPLE!$F$14,$M76,AN$13)="",10^12,OFFSET(CRONOPLE!$F$14,$M76,AN$13))))</f>
        <v>1000000000000</v>
      </c>
      <c r="AO76" s="181">
        <f ca="1">IF($D76&lt;&gt;"Serviço",0,IF(AND(AUTOEVENTO="Manual",$M76=1),0,IF(OFFSET(CRONOPLE!$F$14,$M76,AO$13)="",10^12,OFFSET(CRONOPLE!$F$14,$M76,AO$13))))</f>
        <v>1000000000000</v>
      </c>
      <c r="AP76" s="181">
        <f ca="1">IF($D76&lt;&gt;"Serviço",0,IF(AND(AUTOEVENTO="Manual",$M76=1),0,IF(OFFSET(CRONOPLE!$F$14,$M76,AP$13)="",10^12,OFFSET(CRONOPLE!$F$14,$M76,AP$13))))</f>
        <v>1000000000000</v>
      </c>
      <c r="AQ76" s="181">
        <f ca="1">IF($D76&lt;&gt;"Serviço",0,IF(AND(AUTOEVENTO="Manual",$M76=1),0,IF(OFFSET(CRONOPLE!$F$14,$M76,AQ$13)="",10^12,OFFSET(CRONOPLE!$F$14,$M76,AQ$13))))</f>
        <v>1000000000000</v>
      </c>
      <c r="AR76" s="181">
        <f ca="1">IF($D76&lt;&gt;"Serviço",0,IF(AND(AUTOEVENTO="Manual",$M76=1),0,IF(OFFSET(CRONOPLE!$F$14,$M76,AR$13)="",10^12,OFFSET(CRONOPLE!$F$14,$M76,AR$13))))</f>
        <v>1000000000000</v>
      </c>
      <c r="AS76" s="181">
        <f ca="1">IF($D76&lt;&gt;"Serviço",0,IF(AND(AUTOEVENTO="Manual",$M76=1),0,IF(OFFSET(CRONOPLE!$F$14,$M76,AS$13)="",10^12,OFFSET(CRONOPLE!$F$14,$M76,AS$13))))</f>
        <v>1000000000000</v>
      </c>
      <c r="AT76" s="181">
        <f ca="1">IF($D76&lt;&gt;"Serviço",0,IF(AND(AUTOEVENTO="Manual",$M76=1),0,IF(OFFSET(CRONOPLE!$F$14,$M76,AT$13)="",10^12,OFFSET(CRONOPLE!$F$14,$M76,AT$13))))</f>
        <v>1000000000000</v>
      </c>
      <c r="AU76" s="181">
        <f ca="1">IF($D76&lt;&gt;"Serviço",0,IF(AND(AUTOEVENTO="Manual",$M76=1),0,IF(OFFSET(CRONOPLE!$F$14,$M76,AU$13)="",10^12,OFFSET(CRONOPLE!$F$14,$M76,AU$13))))</f>
        <v>1000000000000</v>
      </c>
      <c r="AV76" s="181">
        <f ca="1">IF($D76&lt;&gt;"Serviço",0,IF(AND(AUTOEVENTO="Manual",$M76=1),0,IF(OFFSET(CRONOPLE!$F$14,$M76,AV$13)="",10^12,OFFSET(CRONOPLE!$F$14,$M76,AV$13))))</f>
        <v>1000000000000</v>
      </c>
      <c r="AX76" s="182">
        <f ca="1">IF($D76&lt;&gt;"Serviço",0,IF(OR(AND(AUTOEVENTO="Manual",$M76=1),$M76&gt;(ROW(PLE.lastrow)-ROW(PLE.firstrow))),0,IF(OFFSET(PLE!$G$14,$M76,AX$13)="",10^12,OFFSET(PLE!$G$14,$M76,AX$13))))</f>
        <v>1000000000000</v>
      </c>
      <c r="AY76" s="182">
        <f ca="1">IF($D76&lt;&gt;"Serviço",0,IF(OR(AND(AUTOEVENTO="Manual",$M76=1),$M76&gt;(ROW(PLE.lastrow)-ROW(PLE.firstrow))),0,IF(OFFSET(PLE!$G$14,$M76,AY$13)="",10^12,OFFSET(PLE!$G$14,$M76,AY$13))))</f>
        <v>1000000000000</v>
      </c>
      <c r="AZ76" s="182">
        <f ca="1">IF($D76&lt;&gt;"Serviço",0,IF(OR(AND(AUTOEVENTO="Manual",$M76=1),$M76&gt;(ROW(PLE.lastrow)-ROW(PLE.firstrow))),0,IF(OFFSET(PLE!$G$14,$M76,AZ$13)="",10^12,OFFSET(PLE!$G$14,$M76,AZ$13))))</f>
        <v>1000000000000</v>
      </c>
      <c r="BA76" s="182">
        <f ca="1">IF($D76&lt;&gt;"Serviço",0,IF(OR(AND(AUTOEVENTO="Manual",$M76=1),$M76&gt;(ROW(PLE.lastrow)-ROW(PLE.firstrow))),0,IF(OFFSET(PLE!$G$14,$M76,BA$13)="",10^12,OFFSET(PLE!$G$14,$M76,BA$13))))</f>
        <v>1000000000000</v>
      </c>
      <c r="BB76" s="182">
        <f ca="1">IF($D76&lt;&gt;"Serviço",0,IF(OR(AND(AUTOEVENTO="Manual",$M76=1),$M76&gt;(ROW(PLE.lastrow)-ROW(PLE.firstrow))),0,IF(OFFSET(PLE!$G$14,$M76,BB$13)="",10^12,OFFSET(PLE!$G$14,$M76,BB$13))))</f>
        <v>1000000000000</v>
      </c>
      <c r="BC76" s="182">
        <f ca="1">IF($D76&lt;&gt;"Serviço",0,IF(OR(AND(AUTOEVENTO="Manual",$M76=1),$M76&gt;(ROW(PLE.lastrow)-ROW(PLE.firstrow))),0,IF(OFFSET(PLE!$G$14,$M76,BC$13)="",10^12,OFFSET(PLE!$G$14,$M76,BC$13))))</f>
        <v>1000000000000</v>
      </c>
      <c r="BD76" s="182">
        <f ca="1">IF($D76&lt;&gt;"Serviço",0,IF(OR(AND(AUTOEVENTO="Manual",$M76=1),$M76&gt;(ROW(PLE.lastrow)-ROW(PLE.firstrow))),0,IF(OFFSET(PLE!$G$14,$M76,BD$13)="",10^12,OFFSET(PLE!$G$14,$M76,BD$13))))</f>
        <v>1000000000000</v>
      </c>
      <c r="BE76" s="182">
        <f ca="1">IF($D76&lt;&gt;"Serviço",0,IF(OR(AND(AUTOEVENTO="Manual",$M76=1),$M76&gt;(ROW(PLE.lastrow)-ROW(PLE.firstrow))),0,IF(OFFSET(PLE!$G$14,$M76,BE$13)="",10^12,OFFSET(PLE!$G$14,$M76,BE$13))))</f>
        <v>1000000000000</v>
      </c>
      <c r="BF76" s="182">
        <f ca="1">IF($D76&lt;&gt;"Serviço",0,IF(OR(AND(AUTOEVENTO="Manual",$M76=1),$M76&gt;(ROW(PLE.lastrow)-ROW(PLE.firstrow))),0,IF(OFFSET(PLE!$G$14,$M76,BF$13)="",10^12,OFFSET(PLE!$G$14,$M76,BF$13))))</f>
        <v>1000000000000</v>
      </c>
      <c r="BG76" s="182">
        <f ca="1">IF($D76&lt;&gt;"Serviço",0,IF(OR(AND(AUTOEVENTO="Manual",$M76=1),$M76&gt;(ROW(PLE.lastrow)-ROW(PLE.firstrow))),0,IF(OFFSET(PLE!$G$14,$M76,BG$13)="",10^12,OFFSET(PLE!$G$14,$M76,BG$13))))</f>
        <v>1000000000000</v>
      </c>
    </row>
    <row r="77" spans="1:59" ht="12.75" x14ac:dyDescent="0.2">
      <c r="A77" s="7" t="str">
        <f t="shared" ca="1" si="11"/>
        <v>62.</v>
      </c>
      <c r="B77" s="7">
        <f ca="1">OFFSET(ORÇAMENTO!C$15,ROW(B77)-ROW(B$15),0)</f>
        <v>2</v>
      </c>
      <c r="C77" s="7" t="str">
        <f ca="1">OFFSET(ORÇAMENTO!L$15,ROW(C77)-ROW(C$15),0)</f>
        <v>F</v>
      </c>
      <c r="D77" s="118" t="str">
        <f ca="1">OFFSET(ORÇAMENTO!N$15,ROW(D77)-ROW(D$15),0)</f>
        <v>Nível 2</v>
      </c>
      <c r="E77" s="119" t="str">
        <f ca="1">OFFSET(ORÇAMENTO!O$15,ROW(E77)-ROW(E$15),0)</f>
        <v>5.2.</v>
      </c>
      <c r="F77" s="172" t="str">
        <f ca="1">OFFSET(ORÇAMENTO!R$15,ROW(F77)-ROW(F$15),0)</f>
        <v xml:space="preserve">FORRO </v>
      </c>
      <c r="G77" s="173" t="str">
        <f ca="1">IF($D77&lt;&gt;"Serviço","",OFFSET(ORÇAMENTO!S$15,ROW(G77)-ROW(G$15),0))</f>
        <v/>
      </c>
      <c r="H77" s="124">
        <f ca="1">IF($D77&lt;&gt;"Serviço",0,IF(ACOMPANHAMENTO="BM",ROUND(OFFSET(ORÇAMENTO!AJ$15,ROW(H77)-ROW(H$15),0),15-13*ORÇAMENTO!$AF$7),SUMPRODUCT(($Q$12:$AA$12&lt;&gt;"")*ROUND($Q77:$AA77,15-13*ORÇAMENTO!$AF$7))))</f>
        <v>0</v>
      </c>
      <c r="I77" s="561"/>
      <c r="K77" s="174"/>
      <c r="L77" s="175" t="s">
        <v>255</v>
      </c>
      <c r="M77" s="176" t="str">
        <f ca="1">IF($D77&lt;&gt;"Serviço","",IF(AUTOEVENTO="manual",$A77,IF(ISERROR(MATCH($A77,$A$15:OFFSET($A77,-1,0),0)),MAX($M$15:OFFSET(M77,-1,0))+1,INDEX($M$15:OFFSET(M77,-1,0),MATCH($A77,$A$15:OFFSET($A77,-1,0),0)))))</f>
        <v/>
      </c>
      <c r="N77" s="177" t="str">
        <f ca="1">IF($D77&lt;&gt;"Serviço","",IF(AUTOEVENTO="Manual",IF($A77=0,"&lt;-- defina o número do agrupador",OFFSET(EVENTOS!$D$14,$A77,0)),OFFSET($F$15,$A77,0)))</f>
        <v/>
      </c>
      <c r="O77" s="178"/>
      <c r="Q77" s="178"/>
      <c r="R77" s="179"/>
      <c r="S77" s="179"/>
      <c r="T77" s="179"/>
      <c r="U77" s="179"/>
      <c r="V77" s="179"/>
      <c r="W77" s="179"/>
      <c r="X77" s="179"/>
      <c r="Y77" s="179"/>
      <c r="Z77" s="180"/>
      <c r="AB77" s="544">
        <f ca="1">IF(AND($D77="Serviço",AB$12&lt;&gt;0,$H77&gt;0,OR(AUTOEVENTO&lt;&gt;"manual",$M77&lt;&gt;1)),
IF(Import.TipoArredondamento&lt;&gt;"TransfereGOV",
ROUND(OFFSET($P77,0,AB$13),15-13*ORÇAMENTO!$AF$7)/$H77*OFFSET(ORÇAMENTO!$X$15,ROW(AB77)-ROW(AB$15),0),
ROUND(ROUND(OFFSET($P77,0,AB$13),15-13*ORÇAMENTO!$AF$7)*OFFSET(ORÇAMENTO!$W$15,ROW(AB77)-ROW(AB$15),0),15-13*ORÇAMENTO!$AF$11)),0)</f>
        <v>0</v>
      </c>
      <c r="AC77" s="545">
        <f ca="1">IF(AND($D77="Serviço",AC$12&lt;&gt;0,$H77&gt;0,OR(AUTOEVENTO&lt;&gt;"manual",$M77&lt;&gt;1)),
IF(Import.TipoArredondamento&lt;&gt;"TransfereGOV",
ROUND(OFFSET($P77,0,AC$13),15-13*ORÇAMENTO!$AF$7)/$H77*OFFSET(ORÇAMENTO!$X$15,ROW(AC77)-ROW(AC$15),0),
ROUND(ROUND(OFFSET($P77,0,AC$13),15-13*ORÇAMENTO!$AF$7)*OFFSET(ORÇAMENTO!$W$15,ROW(AC77)-ROW(AC$15),0),15-13*ORÇAMENTO!$AF$11)),0)</f>
        <v>0</v>
      </c>
      <c r="AD77" s="545">
        <f ca="1">IF(AND($D77="Serviço",AD$12&lt;&gt;0,$H77&gt;0,OR(AUTOEVENTO&lt;&gt;"manual",$M77&lt;&gt;1)),
IF(Import.TipoArredondamento&lt;&gt;"TransfereGOV",
ROUND(OFFSET($P77,0,AD$13),15-13*ORÇAMENTO!$AF$7)/$H77*OFFSET(ORÇAMENTO!$X$15,ROW(AD77)-ROW(AD$15),0),
ROUND(ROUND(OFFSET($P77,0,AD$13),15-13*ORÇAMENTO!$AF$7)*OFFSET(ORÇAMENTO!$W$15,ROW(AD77)-ROW(AD$15),0),15-13*ORÇAMENTO!$AF$11)),0)</f>
        <v>0</v>
      </c>
      <c r="AE77" s="545">
        <f ca="1">IF(AND($D77="Serviço",AE$12&lt;&gt;0,$H77&gt;0,OR(AUTOEVENTO&lt;&gt;"manual",$M77&lt;&gt;1)),
IF(Import.TipoArredondamento&lt;&gt;"TransfereGOV",
ROUND(OFFSET($P77,0,AE$13),15-13*ORÇAMENTO!$AF$7)/$H77*OFFSET(ORÇAMENTO!$X$15,ROW(AE77)-ROW(AE$15),0),
ROUND(ROUND(OFFSET($P77,0,AE$13),15-13*ORÇAMENTO!$AF$7)*OFFSET(ORÇAMENTO!$W$15,ROW(AE77)-ROW(AE$15),0),15-13*ORÇAMENTO!$AF$11)),0)</f>
        <v>0</v>
      </c>
      <c r="AF77" s="545">
        <f ca="1">IF(AND($D77="Serviço",AF$12&lt;&gt;0,$H77&gt;0,OR(AUTOEVENTO&lt;&gt;"manual",$M77&lt;&gt;1)),
IF(Import.TipoArredondamento&lt;&gt;"TransfereGOV",
ROUND(OFFSET($P77,0,AF$13),15-13*ORÇAMENTO!$AF$7)/$H77*OFFSET(ORÇAMENTO!$X$15,ROW(AF77)-ROW(AF$15),0),
ROUND(ROUND(OFFSET($P77,0,AF$13),15-13*ORÇAMENTO!$AF$7)*OFFSET(ORÇAMENTO!$W$15,ROW(AF77)-ROW(AF$15),0),15-13*ORÇAMENTO!$AF$11)),0)</f>
        <v>0</v>
      </c>
      <c r="AG77" s="545">
        <f ca="1">IF(AND($D77="Serviço",AG$12&lt;&gt;0,$H77&gt;0,OR(AUTOEVENTO&lt;&gt;"manual",$M77&lt;&gt;1)),
IF(Import.TipoArredondamento&lt;&gt;"TransfereGOV",
ROUND(OFFSET($P77,0,AG$13),15-13*ORÇAMENTO!$AF$7)/$H77*OFFSET(ORÇAMENTO!$X$15,ROW(AG77)-ROW(AG$15),0),
ROUND(ROUND(OFFSET($P77,0,AG$13),15-13*ORÇAMENTO!$AF$7)*OFFSET(ORÇAMENTO!$W$15,ROW(AG77)-ROW(AG$15),0),15-13*ORÇAMENTO!$AF$11)),0)</f>
        <v>0</v>
      </c>
      <c r="AH77" s="545">
        <f ca="1">IF(AND($D77="Serviço",AH$12&lt;&gt;0,$H77&gt;0,OR(AUTOEVENTO&lt;&gt;"manual",$M77&lt;&gt;1)),
IF(Import.TipoArredondamento&lt;&gt;"TransfereGOV",
ROUND(OFFSET($P77,0,AH$13),15-13*ORÇAMENTO!$AF$7)/$H77*OFFSET(ORÇAMENTO!$X$15,ROW(AH77)-ROW(AH$15),0),
ROUND(ROUND(OFFSET($P77,0,AH$13),15-13*ORÇAMENTO!$AF$7)*OFFSET(ORÇAMENTO!$W$15,ROW(AH77)-ROW(AH$15),0),15-13*ORÇAMENTO!$AF$11)),0)</f>
        <v>0</v>
      </c>
      <c r="AI77" s="545">
        <f ca="1">IF(AND($D77="Serviço",AI$12&lt;&gt;0,$H77&gt;0,OR(AUTOEVENTO&lt;&gt;"manual",$M77&lt;&gt;1)),
IF(Import.TipoArredondamento&lt;&gt;"TransfereGOV",
ROUND(OFFSET($P77,0,AI$13),15-13*ORÇAMENTO!$AF$7)/$H77*OFFSET(ORÇAMENTO!$X$15,ROW(AI77)-ROW(AI$15),0),
ROUND(ROUND(OFFSET($P77,0,AI$13),15-13*ORÇAMENTO!$AF$7)*OFFSET(ORÇAMENTO!$W$15,ROW(AI77)-ROW(AI$15),0),15-13*ORÇAMENTO!$AF$11)),0)</f>
        <v>0</v>
      </c>
      <c r="AJ77" s="545">
        <f ca="1">IF(AND($D77="Serviço",AJ$12&lt;&gt;0,$H77&gt;0,OR(AUTOEVENTO&lt;&gt;"manual",$M77&lt;&gt;1)),
IF(Import.TipoArredondamento&lt;&gt;"TransfereGOV",
ROUND(OFFSET($P77,0,AJ$13),15-13*ORÇAMENTO!$AF$7)/$H77*OFFSET(ORÇAMENTO!$X$15,ROW(AJ77)-ROW(AJ$15),0),
ROUND(ROUND(OFFSET($P77,0,AJ$13),15-13*ORÇAMENTO!$AF$7)*OFFSET(ORÇAMENTO!$W$15,ROW(AJ77)-ROW(AJ$15),0),15-13*ORÇAMENTO!$AF$11)),0)</f>
        <v>0</v>
      </c>
      <c r="AK77" s="546">
        <f ca="1">IF(AND($D77="Serviço",AK$12&lt;&gt;0,$H77&gt;0,OR(AUTOEVENTO&lt;&gt;"manual",$M77&lt;&gt;1)),
IF(Import.TipoArredondamento&lt;&gt;"TransfereGOV",
ROUND(OFFSET($P77,0,AK$13),15-13*ORÇAMENTO!$AF$7)/$H77*OFFSET(ORÇAMENTO!$X$15,ROW(AK77)-ROW(AK$15),0),
ROUND(ROUND(OFFSET($P77,0,AK$13),15-13*ORÇAMENTO!$AF$7)*OFFSET(ORÇAMENTO!$W$15,ROW(AK77)-ROW(AK$15),0),15-13*ORÇAMENTO!$AF$11)),0)</f>
        <v>0</v>
      </c>
      <c r="AM77" s="181">
        <f ca="1">IF($D77&lt;&gt;"Serviço",0,IF(AND(AUTOEVENTO="Manual",$M77=1),0,IF(OFFSET(CRONOPLE!$F$14,$M77,AM$13)="",10^12,OFFSET(CRONOPLE!$F$14,$M77,AM$13))))</f>
        <v>0</v>
      </c>
      <c r="AN77" s="181">
        <f ca="1">IF($D77&lt;&gt;"Serviço",0,IF(AND(AUTOEVENTO="Manual",$M77=1),0,IF(OFFSET(CRONOPLE!$F$14,$M77,AN$13)="",10^12,OFFSET(CRONOPLE!$F$14,$M77,AN$13))))</f>
        <v>0</v>
      </c>
      <c r="AO77" s="181">
        <f ca="1">IF($D77&lt;&gt;"Serviço",0,IF(AND(AUTOEVENTO="Manual",$M77=1),0,IF(OFFSET(CRONOPLE!$F$14,$M77,AO$13)="",10^12,OFFSET(CRONOPLE!$F$14,$M77,AO$13))))</f>
        <v>0</v>
      </c>
      <c r="AP77" s="181">
        <f ca="1">IF($D77&lt;&gt;"Serviço",0,IF(AND(AUTOEVENTO="Manual",$M77=1),0,IF(OFFSET(CRONOPLE!$F$14,$M77,AP$13)="",10^12,OFFSET(CRONOPLE!$F$14,$M77,AP$13))))</f>
        <v>0</v>
      </c>
      <c r="AQ77" s="181">
        <f ca="1">IF($D77&lt;&gt;"Serviço",0,IF(AND(AUTOEVENTO="Manual",$M77=1),0,IF(OFFSET(CRONOPLE!$F$14,$M77,AQ$13)="",10^12,OFFSET(CRONOPLE!$F$14,$M77,AQ$13))))</f>
        <v>0</v>
      </c>
      <c r="AR77" s="181">
        <f ca="1">IF($D77&lt;&gt;"Serviço",0,IF(AND(AUTOEVENTO="Manual",$M77=1),0,IF(OFFSET(CRONOPLE!$F$14,$M77,AR$13)="",10^12,OFFSET(CRONOPLE!$F$14,$M77,AR$13))))</f>
        <v>0</v>
      </c>
      <c r="AS77" s="181">
        <f ca="1">IF($D77&lt;&gt;"Serviço",0,IF(AND(AUTOEVENTO="Manual",$M77=1),0,IF(OFFSET(CRONOPLE!$F$14,$M77,AS$13)="",10^12,OFFSET(CRONOPLE!$F$14,$M77,AS$13))))</f>
        <v>0</v>
      </c>
      <c r="AT77" s="181">
        <f ca="1">IF($D77&lt;&gt;"Serviço",0,IF(AND(AUTOEVENTO="Manual",$M77=1),0,IF(OFFSET(CRONOPLE!$F$14,$M77,AT$13)="",10^12,OFFSET(CRONOPLE!$F$14,$M77,AT$13))))</f>
        <v>0</v>
      </c>
      <c r="AU77" s="181">
        <f ca="1">IF($D77&lt;&gt;"Serviço",0,IF(AND(AUTOEVENTO="Manual",$M77=1),0,IF(OFFSET(CRONOPLE!$F$14,$M77,AU$13)="",10^12,OFFSET(CRONOPLE!$F$14,$M77,AU$13))))</f>
        <v>0</v>
      </c>
      <c r="AV77" s="181">
        <f ca="1">IF($D77&lt;&gt;"Serviço",0,IF(AND(AUTOEVENTO="Manual",$M77=1),0,IF(OFFSET(CRONOPLE!$F$14,$M77,AV$13)="",10^12,OFFSET(CRONOPLE!$F$14,$M77,AV$13))))</f>
        <v>0</v>
      </c>
      <c r="AX77" s="182">
        <f ca="1">IF($D77&lt;&gt;"Serviço",0,IF(OR(AND(AUTOEVENTO="Manual",$M77=1),$M77&gt;(ROW(PLE.lastrow)-ROW(PLE.firstrow))),0,IF(OFFSET(PLE!$G$14,$M77,AX$13)="",10^12,OFFSET(PLE!$G$14,$M77,AX$13))))</f>
        <v>0</v>
      </c>
      <c r="AY77" s="182">
        <f ca="1">IF($D77&lt;&gt;"Serviço",0,IF(OR(AND(AUTOEVENTO="Manual",$M77=1),$M77&gt;(ROW(PLE.lastrow)-ROW(PLE.firstrow))),0,IF(OFFSET(PLE!$G$14,$M77,AY$13)="",10^12,OFFSET(PLE!$G$14,$M77,AY$13))))</f>
        <v>0</v>
      </c>
      <c r="AZ77" s="182">
        <f ca="1">IF($D77&lt;&gt;"Serviço",0,IF(OR(AND(AUTOEVENTO="Manual",$M77=1),$M77&gt;(ROW(PLE.lastrow)-ROW(PLE.firstrow))),0,IF(OFFSET(PLE!$G$14,$M77,AZ$13)="",10^12,OFFSET(PLE!$G$14,$M77,AZ$13))))</f>
        <v>0</v>
      </c>
      <c r="BA77" s="182">
        <f ca="1">IF($D77&lt;&gt;"Serviço",0,IF(OR(AND(AUTOEVENTO="Manual",$M77=1),$M77&gt;(ROW(PLE.lastrow)-ROW(PLE.firstrow))),0,IF(OFFSET(PLE!$G$14,$M77,BA$13)="",10^12,OFFSET(PLE!$G$14,$M77,BA$13))))</f>
        <v>0</v>
      </c>
      <c r="BB77" s="182">
        <f ca="1">IF($D77&lt;&gt;"Serviço",0,IF(OR(AND(AUTOEVENTO="Manual",$M77=1),$M77&gt;(ROW(PLE.lastrow)-ROW(PLE.firstrow))),0,IF(OFFSET(PLE!$G$14,$M77,BB$13)="",10^12,OFFSET(PLE!$G$14,$M77,BB$13))))</f>
        <v>0</v>
      </c>
      <c r="BC77" s="182">
        <f ca="1">IF($D77&lt;&gt;"Serviço",0,IF(OR(AND(AUTOEVENTO="Manual",$M77=1),$M77&gt;(ROW(PLE.lastrow)-ROW(PLE.firstrow))),0,IF(OFFSET(PLE!$G$14,$M77,BC$13)="",10^12,OFFSET(PLE!$G$14,$M77,BC$13))))</f>
        <v>0</v>
      </c>
      <c r="BD77" s="182">
        <f ca="1">IF($D77&lt;&gt;"Serviço",0,IF(OR(AND(AUTOEVENTO="Manual",$M77=1),$M77&gt;(ROW(PLE.lastrow)-ROW(PLE.firstrow))),0,IF(OFFSET(PLE!$G$14,$M77,BD$13)="",10^12,OFFSET(PLE!$G$14,$M77,BD$13))))</f>
        <v>0</v>
      </c>
      <c r="BE77" s="182">
        <f ca="1">IF($D77&lt;&gt;"Serviço",0,IF(OR(AND(AUTOEVENTO="Manual",$M77=1),$M77&gt;(ROW(PLE.lastrow)-ROW(PLE.firstrow))),0,IF(OFFSET(PLE!$G$14,$M77,BE$13)="",10^12,OFFSET(PLE!$G$14,$M77,BE$13))))</f>
        <v>0</v>
      </c>
      <c r="BF77" s="182">
        <f ca="1">IF($D77&lt;&gt;"Serviço",0,IF(OR(AND(AUTOEVENTO="Manual",$M77=1),$M77&gt;(ROW(PLE.lastrow)-ROW(PLE.firstrow))),0,IF(OFFSET(PLE!$G$14,$M77,BF$13)="",10^12,OFFSET(PLE!$G$14,$M77,BF$13))))</f>
        <v>0</v>
      </c>
      <c r="BG77" s="182">
        <f ca="1">IF($D77&lt;&gt;"Serviço",0,IF(OR(AND(AUTOEVENTO="Manual",$M77=1),$M77&gt;(ROW(PLE.lastrow)-ROW(PLE.firstrow))),0,IF(OFFSET(PLE!$G$14,$M77,BG$13)="",10^12,OFFSET(PLE!$G$14,$M77,BG$13))))</f>
        <v>0</v>
      </c>
    </row>
    <row r="78" spans="1:59" ht="38.25" x14ac:dyDescent="0.2">
      <c r="A78" s="7" t="str">
        <f t="shared" ca="1" si="11"/>
        <v>62</v>
      </c>
      <c r="B78" s="7" t="str">
        <f ca="1">OFFSET(ORÇAMENTO!C$15,ROW(B78)-ROW(B$15),0)</f>
        <v>S</v>
      </c>
      <c r="C78" s="7" t="str">
        <f ca="1">OFFSET(ORÇAMENTO!L$15,ROW(C78)-ROW(C$15),0)</f>
        <v>F</v>
      </c>
      <c r="D78" s="118" t="str">
        <f ca="1">OFFSET(ORÇAMENTO!N$15,ROW(D78)-ROW(D$15),0)</f>
        <v>Serviço</v>
      </c>
      <c r="E78" s="119" t="str">
        <f ca="1">OFFSET(ORÇAMENTO!O$15,ROW(E78)-ROW(E$15),0)</f>
        <v>5.2.1.</v>
      </c>
      <c r="F78" s="172" t="str">
        <f ca="1">OFFSET(ORÇAMENTO!R$15,ROW(F78)-ROW(F$15),0)</f>
        <v>FORRO EM RÉGUAS DE PVC, FRISADO, PARA AMBIENTES RESIDENCIAIS, INCLUSIVE ESTRUTURA UNIDIRECIONAL DE FIXAÇÃO. AF_08/2023_PS</v>
      </c>
      <c r="G78" s="173" t="str">
        <f ca="1">IF($D78&lt;&gt;"Serviço","",OFFSET(ORÇAMENTO!S$15,ROW(G78)-ROW(G$15),0))</f>
        <v>M2</v>
      </c>
      <c r="H78" s="124">
        <f ca="1">IF($D78&lt;&gt;"Serviço",0,IF(ACOMPANHAMENTO="BM",ROUND(OFFSET(ORÇAMENTO!AJ$15,ROW(H78)-ROW(H$15),0),15-13*ORÇAMENTO!$AF$7),SUMPRODUCT(($Q$12:$AA$12&lt;&gt;"")*ROUND($Q78:$AA78,15-13*ORÇAMENTO!$AF$7))))</f>
        <v>71.010000000000005</v>
      </c>
      <c r="I78" s="561"/>
      <c r="K78" s="174"/>
      <c r="L78" s="175" t="s">
        <v>255</v>
      </c>
      <c r="M78" s="176">
        <f ca="1">IF($D78&lt;&gt;"Serviço","",IF(AUTOEVENTO="manual",$A78,IF(ISERROR(MATCH($A78,$A$15:OFFSET($A78,-1,0),0)),MAX($M$15:OFFSET(M78,-1,0))+1,INDEX($M$15:OFFSET(M78,-1,0),MATCH($A78,$A$15:OFFSET($A78,-1,0),0)))))</f>
        <v>13</v>
      </c>
      <c r="N78" s="177" t="str">
        <f ca="1">IF($D78&lt;&gt;"Serviço","",IF(AUTOEVENTO="Manual",IF($A78=0,"&lt;-- defina o número do agrupador",OFFSET(EVENTOS!$D$14,$A78,0)),OFFSET($F$15,$A78,0)))</f>
        <v xml:space="preserve">FORRO </v>
      </c>
      <c r="O78" s="178"/>
      <c r="Q78" s="178"/>
      <c r="R78" s="179"/>
      <c r="S78" s="179"/>
      <c r="T78" s="179"/>
      <c r="U78" s="179"/>
      <c r="V78" s="179"/>
      <c r="W78" s="179"/>
      <c r="X78" s="179"/>
      <c r="Y78" s="179"/>
      <c r="Z78" s="180"/>
      <c r="AB78" s="544">
        <f ca="1">IF(AND($D78="Serviço",AB$12&lt;&gt;0,$H78&gt;0,OR(AUTOEVENTO&lt;&gt;"manual",$M78&lt;&gt;1)),
IF(Import.TipoArredondamento&lt;&gt;"TransfereGOV",
ROUND(OFFSET($P78,0,AB$13),15-13*ORÇAMENTO!$AF$7)/$H78*OFFSET(ORÇAMENTO!$X$15,ROW(AB78)-ROW(AB$15),0),
ROUND(ROUND(OFFSET($P78,0,AB$13),15-13*ORÇAMENTO!$AF$7)*OFFSET(ORÇAMENTO!$W$15,ROW(AB78)-ROW(AB$15),0),15-13*ORÇAMENTO!$AF$11)),0)</f>
        <v>0</v>
      </c>
      <c r="AC78" s="545">
        <f ca="1">IF(AND($D78="Serviço",AC$12&lt;&gt;0,$H78&gt;0,OR(AUTOEVENTO&lt;&gt;"manual",$M78&lt;&gt;1)),
IF(Import.TipoArredondamento&lt;&gt;"TransfereGOV",
ROUND(OFFSET($P78,0,AC$13),15-13*ORÇAMENTO!$AF$7)/$H78*OFFSET(ORÇAMENTO!$X$15,ROW(AC78)-ROW(AC$15),0),
ROUND(ROUND(OFFSET($P78,0,AC$13),15-13*ORÇAMENTO!$AF$7)*OFFSET(ORÇAMENTO!$W$15,ROW(AC78)-ROW(AC$15),0),15-13*ORÇAMENTO!$AF$11)),0)</f>
        <v>0</v>
      </c>
      <c r="AD78" s="545">
        <f ca="1">IF(AND($D78="Serviço",AD$12&lt;&gt;0,$H78&gt;0,OR(AUTOEVENTO&lt;&gt;"manual",$M78&lt;&gt;1)),
IF(Import.TipoArredondamento&lt;&gt;"TransfereGOV",
ROUND(OFFSET($P78,0,AD$13),15-13*ORÇAMENTO!$AF$7)/$H78*OFFSET(ORÇAMENTO!$X$15,ROW(AD78)-ROW(AD$15),0),
ROUND(ROUND(OFFSET($P78,0,AD$13),15-13*ORÇAMENTO!$AF$7)*OFFSET(ORÇAMENTO!$W$15,ROW(AD78)-ROW(AD$15),0),15-13*ORÇAMENTO!$AF$11)),0)</f>
        <v>0</v>
      </c>
      <c r="AE78" s="545">
        <f ca="1">IF(AND($D78="Serviço",AE$12&lt;&gt;0,$H78&gt;0,OR(AUTOEVENTO&lt;&gt;"manual",$M78&lt;&gt;1)),
IF(Import.TipoArredondamento&lt;&gt;"TransfereGOV",
ROUND(OFFSET($P78,0,AE$13),15-13*ORÇAMENTO!$AF$7)/$H78*OFFSET(ORÇAMENTO!$X$15,ROW(AE78)-ROW(AE$15),0),
ROUND(ROUND(OFFSET($P78,0,AE$13),15-13*ORÇAMENTO!$AF$7)*OFFSET(ORÇAMENTO!$W$15,ROW(AE78)-ROW(AE$15),0),15-13*ORÇAMENTO!$AF$11)),0)</f>
        <v>0</v>
      </c>
      <c r="AF78" s="545">
        <f ca="1">IF(AND($D78="Serviço",AF$12&lt;&gt;0,$H78&gt;0,OR(AUTOEVENTO&lt;&gt;"manual",$M78&lt;&gt;1)),
IF(Import.TipoArredondamento&lt;&gt;"TransfereGOV",
ROUND(OFFSET($P78,0,AF$13),15-13*ORÇAMENTO!$AF$7)/$H78*OFFSET(ORÇAMENTO!$X$15,ROW(AF78)-ROW(AF$15),0),
ROUND(ROUND(OFFSET($P78,0,AF$13),15-13*ORÇAMENTO!$AF$7)*OFFSET(ORÇAMENTO!$W$15,ROW(AF78)-ROW(AF$15),0),15-13*ORÇAMENTO!$AF$11)),0)</f>
        <v>0</v>
      </c>
      <c r="AG78" s="545">
        <f ca="1">IF(AND($D78="Serviço",AG$12&lt;&gt;0,$H78&gt;0,OR(AUTOEVENTO&lt;&gt;"manual",$M78&lt;&gt;1)),
IF(Import.TipoArredondamento&lt;&gt;"TransfereGOV",
ROUND(OFFSET($P78,0,AG$13),15-13*ORÇAMENTO!$AF$7)/$H78*OFFSET(ORÇAMENTO!$X$15,ROW(AG78)-ROW(AG$15),0),
ROUND(ROUND(OFFSET($P78,0,AG$13),15-13*ORÇAMENTO!$AF$7)*OFFSET(ORÇAMENTO!$W$15,ROW(AG78)-ROW(AG$15),0),15-13*ORÇAMENTO!$AF$11)),0)</f>
        <v>0</v>
      </c>
      <c r="AH78" s="545">
        <f ca="1">IF(AND($D78="Serviço",AH$12&lt;&gt;0,$H78&gt;0,OR(AUTOEVENTO&lt;&gt;"manual",$M78&lt;&gt;1)),
IF(Import.TipoArredondamento&lt;&gt;"TransfereGOV",
ROUND(OFFSET($P78,0,AH$13),15-13*ORÇAMENTO!$AF$7)/$H78*OFFSET(ORÇAMENTO!$X$15,ROW(AH78)-ROW(AH$15),0),
ROUND(ROUND(OFFSET($P78,0,AH$13),15-13*ORÇAMENTO!$AF$7)*OFFSET(ORÇAMENTO!$W$15,ROW(AH78)-ROW(AH$15),0),15-13*ORÇAMENTO!$AF$11)),0)</f>
        <v>0</v>
      </c>
      <c r="AI78" s="545">
        <f ca="1">IF(AND($D78="Serviço",AI$12&lt;&gt;0,$H78&gt;0,OR(AUTOEVENTO&lt;&gt;"manual",$M78&lt;&gt;1)),
IF(Import.TipoArredondamento&lt;&gt;"TransfereGOV",
ROUND(OFFSET($P78,0,AI$13),15-13*ORÇAMENTO!$AF$7)/$H78*OFFSET(ORÇAMENTO!$X$15,ROW(AI78)-ROW(AI$15),0),
ROUND(ROUND(OFFSET($P78,0,AI$13),15-13*ORÇAMENTO!$AF$7)*OFFSET(ORÇAMENTO!$W$15,ROW(AI78)-ROW(AI$15),0),15-13*ORÇAMENTO!$AF$11)),0)</f>
        <v>0</v>
      </c>
      <c r="AJ78" s="545">
        <f ca="1">IF(AND($D78="Serviço",AJ$12&lt;&gt;0,$H78&gt;0,OR(AUTOEVENTO&lt;&gt;"manual",$M78&lt;&gt;1)),
IF(Import.TipoArredondamento&lt;&gt;"TransfereGOV",
ROUND(OFFSET($P78,0,AJ$13),15-13*ORÇAMENTO!$AF$7)/$H78*OFFSET(ORÇAMENTO!$X$15,ROW(AJ78)-ROW(AJ$15),0),
ROUND(ROUND(OFFSET($P78,0,AJ$13),15-13*ORÇAMENTO!$AF$7)*OFFSET(ORÇAMENTO!$W$15,ROW(AJ78)-ROW(AJ$15),0),15-13*ORÇAMENTO!$AF$11)),0)</f>
        <v>0</v>
      </c>
      <c r="AK78" s="546">
        <f ca="1">IF(AND($D78="Serviço",AK$12&lt;&gt;0,$H78&gt;0,OR(AUTOEVENTO&lt;&gt;"manual",$M78&lt;&gt;1)),
IF(Import.TipoArredondamento&lt;&gt;"TransfereGOV",
ROUND(OFFSET($P78,0,AK$13),15-13*ORÇAMENTO!$AF$7)/$H78*OFFSET(ORÇAMENTO!$X$15,ROW(AK78)-ROW(AK$15),0),
ROUND(ROUND(OFFSET($P78,0,AK$13),15-13*ORÇAMENTO!$AF$7)*OFFSET(ORÇAMENTO!$W$15,ROW(AK78)-ROW(AK$15),0),15-13*ORÇAMENTO!$AF$11)),0)</f>
        <v>0</v>
      </c>
      <c r="AM78" s="181">
        <f ca="1">IF($D78&lt;&gt;"Serviço",0,IF(AND(AUTOEVENTO="Manual",$M78=1),0,IF(OFFSET(CRONOPLE!$F$14,$M78,AM$13)="",10^12,OFFSET(CRONOPLE!$F$14,$M78,AM$13))))</f>
        <v>1000000000000</v>
      </c>
      <c r="AN78" s="181">
        <f ca="1">IF($D78&lt;&gt;"Serviço",0,IF(AND(AUTOEVENTO="Manual",$M78=1),0,IF(OFFSET(CRONOPLE!$F$14,$M78,AN$13)="",10^12,OFFSET(CRONOPLE!$F$14,$M78,AN$13))))</f>
        <v>1000000000000</v>
      </c>
      <c r="AO78" s="181">
        <f ca="1">IF($D78&lt;&gt;"Serviço",0,IF(AND(AUTOEVENTO="Manual",$M78=1),0,IF(OFFSET(CRONOPLE!$F$14,$M78,AO$13)="",10^12,OFFSET(CRONOPLE!$F$14,$M78,AO$13))))</f>
        <v>1000000000000</v>
      </c>
      <c r="AP78" s="181">
        <f ca="1">IF($D78&lt;&gt;"Serviço",0,IF(AND(AUTOEVENTO="Manual",$M78=1),0,IF(OFFSET(CRONOPLE!$F$14,$M78,AP$13)="",10^12,OFFSET(CRONOPLE!$F$14,$M78,AP$13))))</f>
        <v>1000000000000</v>
      </c>
      <c r="AQ78" s="181">
        <f ca="1">IF($D78&lt;&gt;"Serviço",0,IF(AND(AUTOEVENTO="Manual",$M78=1),0,IF(OFFSET(CRONOPLE!$F$14,$M78,AQ$13)="",10^12,OFFSET(CRONOPLE!$F$14,$M78,AQ$13))))</f>
        <v>1000000000000</v>
      </c>
      <c r="AR78" s="181">
        <f ca="1">IF($D78&lt;&gt;"Serviço",0,IF(AND(AUTOEVENTO="Manual",$M78=1),0,IF(OFFSET(CRONOPLE!$F$14,$M78,AR$13)="",10^12,OFFSET(CRONOPLE!$F$14,$M78,AR$13))))</f>
        <v>1000000000000</v>
      </c>
      <c r="AS78" s="181">
        <f ca="1">IF($D78&lt;&gt;"Serviço",0,IF(AND(AUTOEVENTO="Manual",$M78=1),0,IF(OFFSET(CRONOPLE!$F$14,$M78,AS$13)="",10^12,OFFSET(CRONOPLE!$F$14,$M78,AS$13))))</f>
        <v>1000000000000</v>
      </c>
      <c r="AT78" s="181">
        <f ca="1">IF($D78&lt;&gt;"Serviço",0,IF(AND(AUTOEVENTO="Manual",$M78=1),0,IF(OFFSET(CRONOPLE!$F$14,$M78,AT$13)="",10^12,OFFSET(CRONOPLE!$F$14,$M78,AT$13))))</f>
        <v>1000000000000</v>
      </c>
      <c r="AU78" s="181">
        <f ca="1">IF($D78&lt;&gt;"Serviço",0,IF(AND(AUTOEVENTO="Manual",$M78=1),0,IF(OFFSET(CRONOPLE!$F$14,$M78,AU$13)="",10^12,OFFSET(CRONOPLE!$F$14,$M78,AU$13))))</f>
        <v>1000000000000</v>
      </c>
      <c r="AV78" s="181">
        <f ca="1">IF($D78&lt;&gt;"Serviço",0,IF(AND(AUTOEVENTO="Manual",$M78=1),0,IF(OFFSET(CRONOPLE!$F$14,$M78,AV$13)="",10^12,OFFSET(CRONOPLE!$F$14,$M78,AV$13))))</f>
        <v>1000000000000</v>
      </c>
      <c r="AX78" s="182">
        <f ca="1">IF($D78&lt;&gt;"Serviço",0,IF(OR(AND(AUTOEVENTO="Manual",$M78=1),$M78&gt;(ROW(PLE.lastrow)-ROW(PLE.firstrow))),0,IF(OFFSET(PLE!$G$14,$M78,AX$13)="",10^12,OFFSET(PLE!$G$14,$M78,AX$13))))</f>
        <v>1000000000000</v>
      </c>
      <c r="AY78" s="182">
        <f ca="1">IF($D78&lt;&gt;"Serviço",0,IF(OR(AND(AUTOEVENTO="Manual",$M78=1),$M78&gt;(ROW(PLE.lastrow)-ROW(PLE.firstrow))),0,IF(OFFSET(PLE!$G$14,$M78,AY$13)="",10^12,OFFSET(PLE!$G$14,$M78,AY$13))))</f>
        <v>1000000000000</v>
      </c>
      <c r="AZ78" s="182">
        <f ca="1">IF($D78&lt;&gt;"Serviço",0,IF(OR(AND(AUTOEVENTO="Manual",$M78=1),$M78&gt;(ROW(PLE.lastrow)-ROW(PLE.firstrow))),0,IF(OFFSET(PLE!$G$14,$M78,AZ$13)="",10^12,OFFSET(PLE!$G$14,$M78,AZ$13))))</f>
        <v>1000000000000</v>
      </c>
      <c r="BA78" s="182">
        <f ca="1">IF($D78&lt;&gt;"Serviço",0,IF(OR(AND(AUTOEVENTO="Manual",$M78=1),$M78&gt;(ROW(PLE.lastrow)-ROW(PLE.firstrow))),0,IF(OFFSET(PLE!$G$14,$M78,BA$13)="",10^12,OFFSET(PLE!$G$14,$M78,BA$13))))</f>
        <v>1000000000000</v>
      </c>
      <c r="BB78" s="182">
        <f ca="1">IF($D78&lt;&gt;"Serviço",0,IF(OR(AND(AUTOEVENTO="Manual",$M78=1),$M78&gt;(ROW(PLE.lastrow)-ROW(PLE.firstrow))),0,IF(OFFSET(PLE!$G$14,$M78,BB$13)="",10^12,OFFSET(PLE!$G$14,$M78,BB$13))))</f>
        <v>1000000000000</v>
      </c>
      <c r="BC78" s="182">
        <f ca="1">IF($D78&lt;&gt;"Serviço",0,IF(OR(AND(AUTOEVENTO="Manual",$M78=1),$M78&gt;(ROW(PLE.lastrow)-ROW(PLE.firstrow))),0,IF(OFFSET(PLE!$G$14,$M78,BC$13)="",10^12,OFFSET(PLE!$G$14,$M78,BC$13))))</f>
        <v>1000000000000</v>
      </c>
      <c r="BD78" s="182">
        <f ca="1">IF($D78&lt;&gt;"Serviço",0,IF(OR(AND(AUTOEVENTO="Manual",$M78=1),$M78&gt;(ROW(PLE.lastrow)-ROW(PLE.firstrow))),0,IF(OFFSET(PLE!$G$14,$M78,BD$13)="",10^12,OFFSET(PLE!$G$14,$M78,BD$13))))</f>
        <v>1000000000000</v>
      </c>
      <c r="BE78" s="182">
        <f ca="1">IF($D78&lt;&gt;"Serviço",0,IF(OR(AND(AUTOEVENTO="Manual",$M78=1),$M78&gt;(ROW(PLE.lastrow)-ROW(PLE.firstrow))),0,IF(OFFSET(PLE!$G$14,$M78,BE$13)="",10^12,OFFSET(PLE!$G$14,$M78,BE$13))))</f>
        <v>1000000000000</v>
      </c>
      <c r="BF78" s="182">
        <f ca="1">IF($D78&lt;&gt;"Serviço",0,IF(OR(AND(AUTOEVENTO="Manual",$M78=1),$M78&gt;(ROW(PLE.lastrow)-ROW(PLE.firstrow))),0,IF(OFFSET(PLE!$G$14,$M78,BF$13)="",10^12,OFFSET(PLE!$G$14,$M78,BF$13))))</f>
        <v>1000000000000</v>
      </c>
      <c r="BG78" s="182">
        <f ca="1">IF($D78&lt;&gt;"Serviço",0,IF(OR(AND(AUTOEVENTO="Manual",$M78=1),$M78&gt;(ROW(PLE.lastrow)-ROW(PLE.firstrow))),0,IF(OFFSET(PLE!$G$14,$M78,BG$13)="",10^12,OFFSET(PLE!$G$14,$M78,BG$13))))</f>
        <v>1000000000000</v>
      </c>
    </row>
    <row r="79" spans="1:59" ht="12.75" x14ac:dyDescent="0.2">
      <c r="A79" s="7" t="str">
        <f t="shared" ca="1" si="11"/>
        <v>62</v>
      </c>
      <c r="B79" s="7" t="str">
        <f ca="1">OFFSET(ORÇAMENTO!C$15,ROW(B79)-ROW(B$15),0)</f>
        <v>S</v>
      </c>
      <c r="C79" s="7" t="str">
        <f ca="1">OFFSET(ORÇAMENTO!L$15,ROW(C79)-ROW(C$15),0)</f>
        <v>F</v>
      </c>
      <c r="D79" s="118" t="str">
        <f ca="1">OFFSET(ORÇAMENTO!N$15,ROW(D79)-ROW(D$15),0)</f>
        <v>Serviço</v>
      </c>
      <c r="E79" s="119" t="str">
        <f ca="1">OFFSET(ORÇAMENTO!O$15,ROW(E79)-ROW(E$15),0)</f>
        <v>5.2.2.</v>
      </c>
      <c r="F79" s="172" t="str">
        <f ca="1">OFFSET(ORÇAMENTO!R$15,ROW(F79)-ROW(F$15),0)</f>
        <v>RODAFORRO EM PVC, PARA FORRO DE PVC, COMPRIMENTO 6 M</v>
      </c>
      <c r="G79" s="173" t="str">
        <f ca="1">IF($D79&lt;&gt;"Serviço","",OFFSET(ORÇAMENTO!S$15,ROW(G79)-ROW(G$15),0))</f>
        <v>M</v>
      </c>
      <c r="H79" s="124">
        <f ca="1">IF($D79&lt;&gt;"Serviço",0,IF(ACOMPANHAMENTO="BM",ROUND(OFFSET(ORÇAMENTO!AJ$15,ROW(H79)-ROW(H$15),0),15-13*ORÇAMENTO!$AF$7),SUMPRODUCT(($Q$12:$AA$12&lt;&gt;"")*ROUND($Q79:$AA79,15-13*ORÇAMENTO!$AF$7))))</f>
        <v>72</v>
      </c>
      <c r="I79" s="561"/>
      <c r="K79" s="174"/>
      <c r="L79" s="175" t="s">
        <v>255</v>
      </c>
      <c r="M79" s="176">
        <f ca="1">IF($D79&lt;&gt;"Serviço","",IF(AUTOEVENTO="manual",$A79,IF(ISERROR(MATCH($A79,$A$15:OFFSET($A79,-1,0),0)),MAX($M$15:OFFSET(M79,-1,0))+1,INDEX($M$15:OFFSET(M79,-1,0),MATCH($A79,$A$15:OFFSET($A79,-1,0),0)))))</f>
        <v>13</v>
      </c>
      <c r="N79" s="177" t="str">
        <f ca="1">IF($D79&lt;&gt;"Serviço","",IF(AUTOEVENTO="Manual",IF($A79=0,"&lt;-- defina o número do agrupador",OFFSET(EVENTOS!$D$14,$A79,0)),OFFSET($F$15,$A79,0)))</f>
        <v xml:space="preserve">FORRO </v>
      </c>
      <c r="O79" s="178"/>
      <c r="Q79" s="178"/>
      <c r="R79" s="179"/>
      <c r="S79" s="179"/>
      <c r="T79" s="179"/>
      <c r="U79" s="179"/>
      <c r="V79" s="179"/>
      <c r="W79" s="179"/>
      <c r="X79" s="179"/>
      <c r="Y79" s="179"/>
      <c r="Z79" s="180"/>
      <c r="AB79" s="544">
        <f ca="1">IF(AND($D79="Serviço",AB$12&lt;&gt;0,$H79&gt;0,OR(AUTOEVENTO&lt;&gt;"manual",$M79&lt;&gt;1)),
IF(Import.TipoArredondamento&lt;&gt;"TransfereGOV",
ROUND(OFFSET($P79,0,AB$13),15-13*ORÇAMENTO!$AF$7)/$H79*OFFSET(ORÇAMENTO!$X$15,ROW(AB79)-ROW(AB$15),0),
ROUND(ROUND(OFFSET($P79,0,AB$13),15-13*ORÇAMENTO!$AF$7)*OFFSET(ORÇAMENTO!$W$15,ROW(AB79)-ROW(AB$15),0),15-13*ORÇAMENTO!$AF$11)),0)</f>
        <v>0</v>
      </c>
      <c r="AC79" s="545">
        <f ca="1">IF(AND($D79="Serviço",AC$12&lt;&gt;0,$H79&gt;0,OR(AUTOEVENTO&lt;&gt;"manual",$M79&lt;&gt;1)),
IF(Import.TipoArredondamento&lt;&gt;"TransfereGOV",
ROUND(OFFSET($P79,0,AC$13),15-13*ORÇAMENTO!$AF$7)/$H79*OFFSET(ORÇAMENTO!$X$15,ROW(AC79)-ROW(AC$15),0),
ROUND(ROUND(OFFSET($P79,0,AC$13),15-13*ORÇAMENTO!$AF$7)*OFFSET(ORÇAMENTO!$W$15,ROW(AC79)-ROW(AC$15),0),15-13*ORÇAMENTO!$AF$11)),0)</f>
        <v>0</v>
      </c>
      <c r="AD79" s="545">
        <f ca="1">IF(AND($D79="Serviço",AD$12&lt;&gt;0,$H79&gt;0,OR(AUTOEVENTO&lt;&gt;"manual",$M79&lt;&gt;1)),
IF(Import.TipoArredondamento&lt;&gt;"TransfereGOV",
ROUND(OFFSET($P79,0,AD$13),15-13*ORÇAMENTO!$AF$7)/$H79*OFFSET(ORÇAMENTO!$X$15,ROW(AD79)-ROW(AD$15),0),
ROUND(ROUND(OFFSET($P79,0,AD$13),15-13*ORÇAMENTO!$AF$7)*OFFSET(ORÇAMENTO!$W$15,ROW(AD79)-ROW(AD$15),0),15-13*ORÇAMENTO!$AF$11)),0)</f>
        <v>0</v>
      </c>
      <c r="AE79" s="545">
        <f ca="1">IF(AND($D79="Serviço",AE$12&lt;&gt;0,$H79&gt;0,OR(AUTOEVENTO&lt;&gt;"manual",$M79&lt;&gt;1)),
IF(Import.TipoArredondamento&lt;&gt;"TransfereGOV",
ROUND(OFFSET($P79,0,AE$13),15-13*ORÇAMENTO!$AF$7)/$H79*OFFSET(ORÇAMENTO!$X$15,ROW(AE79)-ROW(AE$15),0),
ROUND(ROUND(OFFSET($P79,0,AE$13),15-13*ORÇAMENTO!$AF$7)*OFFSET(ORÇAMENTO!$W$15,ROW(AE79)-ROW(AE$15),0),15-13*ORÇAMENTO!$AF$11)),0)</f>
        <v>0</v>
      </c>
      <c r="AF79" s="545">
        <f ca="1">IF(AND($D79="Serviço",AF$12&lt;&gt;0,$H79&gt;0,OR(AUTOEVENTO&lt;&gt;"manual",$M79&lt;&gt;1)),
IF(Import.TipoArredondamento&lt;&gt;"TransfereGOV",
ROUND(OFFSET($P79,0,AF$13),15-13*ORÇAMENTO!$AF$7)/$H79*OFFSET(ORÇAMENTO!$X$15,ROW(AF79)-ROW(AF$15),0),
ROUND(ROUND(OFFSET($P79,0,AF$13),15-13*ORÇAMENTO!$AF$7)*OFFSET(ORÇAMENTO!$W$15,ROW(AF79)-ROW(AF$15),0),15-13*ORÇAMENTO!$AF$11)),0)</f>
        <v>0</v>
      </c>
      <c r="AG79" s="545">
        <f ca="1">IF(AND($D79="Serviço",AG$12&lt;&gt;0,$H79&gt;0,OR(AUTOEVENTO&lt;&gt;"manual",$M79&lt;&gt;1)),
IF(Import.TipoArredondamento&lt;&gt;"TransfereGOV",
ROUND(OFFSET($P79,0,AG$13),15-13*ORÇAMENTO!$AF$7)/$H79*OFFSET(ORÇAMENTO!$X$15,ROW(AG79)-ROW(AG$15),0),
ROUND(ROUND(OFFSET($P79,0,AG$13),15-13*ORÇAMENTO!$AF$7)*OFFSET(ORÇAMENTO!$W$15,ROW(AG79)-ROW(AG$15),0),15-13*ORÇAMENTO!$AF$11)),0)</f>
        <v>0</v>
      </c>
      <c r="AH79" s="545">
        <f ca="1">IF(AND($D79="Serviço",AH$12&lt;&gt;0,$H79&gt;0,OR(AUTOEVENTO&lt;&gt;"manual",$M79&lt;&gt;1)),
IF(Import.TipoArredondamento&lt;&gt;"TransfereGOV",
ROUND(OFFSET($P79,0,AH$13),15-13*ORÇAMENTO!$AF$7)/$H79*OFFSET(ORÇAMENTO!$X$15,ROW(AH79)-ROW(AH$15),0),
ROUND(ROUND(OFFSET($P79,0,AH$13),15-13*ORÇAMENTO!$AF$7)*OFFSET(ORÇAMENTO!$W$15,ROW(AH79)-ROW(AH$15),0),15-13*ORÇAMENTO!$AF$11)),0)</f>
        <v>0</v>
      </c>
      <c r="AI79" s="545">
        <f ca="1">IF(AND($D79="Serviço",AI$12&lt;&gt;0,$H79&gt;0,OR(AUTOEVENTO&lt;&gt;"manual",$M79&lt;&gt;1)),
IF(Import.TipoArredondamento&lt;&gt;"TransfereGOV",
ROUND(OFFSET($P79,0,AI$13),15-13*ORÇAMENTO!$AF$7)/$H79*OFFSET(ORÇAMENTO!$X$15,ROW(AI79)-ROW(AI$15),0),
ROUND(ROUND(OFFSET($P79,0,AI$13),15-13*ORÇAMENTO!$AF$7)*OFFSET(ORÇAMENTO!$W$15,ROW(AI79)-ROW(AI$15),0),15-13*ORÇAMENTO!$AF$11)),0)</f>
        <v>0</v>
      </c>
      <c r="AJ79" s="545">
        <f ca="1">IF(AND($D79="Serviço",AJ$12&lt;&gt;0,$H79&gt;0,OR(AUTOEVENTO&lt;&gt;"manual",$M79&lt;&gt;1)),
IF(Import.TipoArredondamento&lt;&gt;"TransfereGOV",
ROUND(OFFSET($P79,0,AJ$13),15-13*ORÇAMENTO!$AF$7)/$H79*OFFSET(ORÇAMENTO!$X$15,ROW(AJ79)-ROW(AJ$15),0),
ROUND(ROUND(OFFSET($P79,0,AJ$13),15-13*ORÇAMENTO!$AF$7)*OFFSET(ORÇAMENTO!$W$15,ROW(AJ79)-ROW(AJ$15),0),15-13*ORÇAMENTO!$AF$11)),0)</f>
        <v>0</v>
      </c>
      <c r="AK79" s="546">
        <f ca="1">IF(AND($D79="Serviço",AK$12&lt;&gt;0,$H79&gt;0,OR(AUTOEVENTO&lt;&gt;"manual",$M79&lt;&gt;1)),
IF(Import.TipoArredondamento&lt;&gt;"TransfereGOV",
ROUND(OFFSET($P79,0,AK$13),15-13*ORÇAMENTO!$AF$7)/$H79*OFFSET(ORÇAMENTO!$X$15,ROW(AK79)-ROW(AK$15),0),
ROUND(ROUND(OFFSET($P79,0,AK$13),15-13*ORÇAMENTO!$AF$7)*OFFSET(ORÇAMENTO!$W$15,ROW(AK79)-ROW(AK$15),0),15-13*ORÇAMENTO!$AF$11)),0)</f>
        <v>0</v>
      </c>
      <c r="AM79" s="181">
        <f ca="1">IF($D79&lt;&gt;"Serviço",0,IF(AND(AUTOEVENTO="Manual",$M79=1),0,IF(OFFSET(CRONOPLE!$F$14,$M79,AM$13)="",10^12,OFFSET(CRONOPLE!$F$14,$M79,AM$13))))</f>
        <v>1000000000000</v>
      </c>
      <c r="AN79" s="181">
        <f ca="1">IF($D79&lt;&gt;"Serviço",0,IF(AND(AUTOEVENTO="Manual",$M79=1),0,IF(OFFSET(CRONOPLE!$F$14,$M79,AN$13)="",10^12,OFFSET(CRONOPLE!$F$14,$M79,AN$13))))</f>
        <v>1000000000000</v>
      </c>
      <c r="AO79" s="181">
        <f ca="1">IF($D79&lt;&gt;"Serviço",0,IF(AND(AUTOEVENTO="Manual",$M79=1),0,IF(OFFSET(CRONOPLE!$F$14,$M79,AO$13)="",10^12,OFFSET(CRONOPLE!$F$14,$M79,AO$13))))</f>
        <v>1000000000000</v>
      </c>
      <c r="AP79" s="181">
        <f ca="1">IF($D79&lt;&gt;"Serviço",0,IF(AND(AUTOEVENTO="Manual",$M79=1),0,IF(OFFSET(CRONOPLE!$F$14,$M79,AP$13)="",10^12,OFFSET(CRONOPLE!$F$14,$M79,AP$13))))</f>
        <v>1000000000000</v>
      </c>
      <c r="AQ79" s="181">
        <f ca="1">IF($D79&lt;&gt;"Serviço",0,IF(AND(AUTOEVENTO="Manual",$M79=1),0,IF(OFFSET(CRONOPLE!$F$14,$M79,AQ$13)="",10^12,OFFSET(CRONOPLE!$F$14,$M79,AQ$13))))</f>
        <v>1000000000000</v>
      </c>
      <c r="AR79" s="181">
        <f ca="1">IF($D79&lt;&gt;"Serviço",0,IF(AND(AUTOEVENTO="Manual",$M79=1),0,IF(OFFSET(CRONOPLE!$F$14,$M79,AR$13)="",10^12,OFFSET(CRONOPLE!$F$14,$M79,AR$13))))</f>
        <v>1000000000000</v>
      </c>
      <c r="AS79" s="181">
        <f ca="1">IF($D79&lt;&gt;"Serviço",0,IF(AND(AUTOEVENTO="Manual",$M79=1),0,IF(OFFSET(CRONOPLE!$F$14,$M79,AS$13)="",10^12,OFFSET(CRONOPLE!$F$14,$M79,AS$13))))</f>
        <v>1000000000000</v>
      </c>
      <c r="AT79" s="181">
        <f ca="1">IF($D79&lt;&gt;"Serviço",0,IF(AND(AUTOEVENTO="Manual",$M79=1),0,IF(OFFSET(CRONOPLE!$F$14,$M79,AT$13)="",10^12,OFFSET(CRONOPLE!$F$14,$M79,AT$13))))</f>
        <v>1000000000000</v>
      </c>
      <c r="AU79" s="181">
        <f ca="1">IF($D79&lt;&gt;"Serviço",0,IF(AND(AUTOEVENTO="Manual",$M79=1),0,IF(OFFSET(CRONOPLE!$F$14,$M79,AU$13)="",10^12,OFFSET(CRONOPLE!$F$14,$M79,AU$13))))</f>
        <v>1000000000000</v>
      </c>
      <c r="AV79" s="181">
        <f ca="1">IF($D79&lt;&gt;"Serviço",0,IF(AND(AUTOEVENTO="Manual",$M79=1),0,IF(OFFSET(CRONOPLE!$F$14,$M79,AV$13)="",10^12,OFFSET(CRONOPLE!$F$14,$M79,AV$13))))</f>
        <v>1000000000000</v>
      </c>
      <c r="AX79" s="182">
        <f ca="1">IF($D79&lt;&gt;"Serviço",0,IF(OR(AND(AUTOEVENTO="Manual",$M79=1),$M79&gt;(ROW(PLE.lastrow)-ROW(PLE.firstrow))),0,IF(OFFSET(PLE!$G$14,$M79,AX$13)="",10^12,OFFSET(PLE!$G$14,$M79,AX$13))))</f>
        <v>1000000000000</v>
      </c>
      <c r="AY79" s="182">
        <f ca="1">IF($D79&lt;&gt;"Serviço",0,IF(OR(AND(AUTOEVENTO="Manual",$M79=1),$M79&gt;(ROW(PLE.lastrow)-ROW(PLE.firstrow))),0,IF(OFFSET(PLE!$G$14,$M79,AY$13)="",10^12,OFFSET(PLE!$G$14,$M79,AY$13))))</f>
        <v>1000000000000</v>
      </c>
      <c r="AZ79" s="182">
        <f ca="1">IF($D79&lt;&gt;"Serviço",0,IF(OR(AND(AUTOEVENTO="Manual",$M79=1),$M79&gt;(ROW(PLE.lastrow)-ROW(PLE.firstrow))),0,IF(OFFSET(PLE!$G$14,$M79,AZ$13)="",10^12,OFFSET(PLE!$G$14,$M79,AZ$13))))</f>
        <v>1000000000000</v>
      </c>
      <c r="BA79" s="182">
        <f ca="1">IF($D79&lt;&gt;"Serviço",0,IF(OR(AND(AUTOEVENTO="Manual",$M79=1),$M79&gt;(ROW(PLE.lastrow)-ROW(PLE.firstrow))),0,IF(OFFSET(PLE!$G$14,$M79,BA$13)="",10^12,OFFSET(PLE!$G$14,$M79,BA$13))))</f>
        <v>1000000000000</v>
      </c>
      <c r="BB79" s="182">
        <f ca="1">IF($D79&lt;&gt;"Serviço",0,IF(OR(AND(AUTOEVENTO="Manual",$M79=1),$M79&gt;(ROW(PLE.lastrow)-ROW(PLE.firstrow))),0,IF(OFFSET(PLE!$G$14,$M79,BB$13)="",10^12,OFFSET(PLE!$G$14,$M79,BB$13))))</f>
        <v>1000000000000</v>
      </c>
      <c r="BC79" s="182">
        <f ca="1">IF($D79&lt;&gt;"Serviço",0,IF(OR(AND(AUTOEVENTO="Manual",$M79=1),$M79&gt;(ROW(PLE.lastrow)-ROW(PLE.firstrow))),0,IF(OFFSET(PLE!$G$14,$M79,BC$13)="",10^12,OFFSET(PLE!$G$14,$M79,BC$13))))</f>
        <v>1000000000000</v>
      </c>
      <c r="BD79" s="182">
        <f ca="1">IF($D79&lt;&gt;"Serviço",0,IF(OR(AND(AUTOEVENTO="Manual",$M79=1),$M79&gt;(ROW(PLE.lastrow)-ROW(PLE.firstrow))),0,IF(OFFSET(PLE!$G$14,$M79,BD$13)="",10^12,OFFSET(PLE!$G$14,$M79,BD$13))))</f>
        <v>1000000000000</v>
      </c>
      <c r="BE79" s="182">
        <f ca="1">IF($D79&lt;&gt;"Serviço",0,IF(OR(AND(AUTOEVENTO="Manual",$M79=1),$M79&gt;(ROW(PLE.lastrow)-ROW(PLE.firstrow))),0,IF(OFFSET(PLE!$G$14,$M79,BE$13)="",10^12,OFFSET(PLE!$G$14,$M79,BE$13))))</f>
        <v>1000000000000</v>
      </c>
      <c r="BF79" s="182">
        <f ca="1">IF($D79&lt;&gt;"Serviço",0,IF(OR(AND(AUTOEVENTO="Manual",$M79=1),$M79&gt;(ROW(PLE.lastrow)-ROW(PLE.firstrow))),0,IF(OFFSET(PLE!$G$14,$M79,BF$13)="",10^12,OFFSET(PLE!$G$14,$M79,BF$13))))</f>
        <v>1000000000000</v>
      </c>
      <c r="BG79" s="182">
        <f ca="1">IF($D79&lt;&gt;"Serviço",0,IF(OR(AND(AUTOEVENTO="Manual",$M79=1),$M79&gt;(ROW(PLE.lastrow)-ROW(PLE.firstrow))),0,IF(OFFSET(PLE!$G$14,$M79,BG$13)="",10^12,OFFSET(PLE!$G$14,$M79,BG$13))))</f>
        <v>1000000000000</v>
      </c>
    </row>
    <row r="80" spans="1:59" ht="12.75" x14ac:dyDescent="0.2">
      <c r="A80" s="7" t="str">
        <f ca="1">IF(AUTOEVENTO="Manual",IF(K80&lt;&gt;"",MIN(VALUE(LEFT(K80,FIND(".",K80)-1)),COUNTA(EVENTOS.Lista)),0),IF(OR($B80&gt;AUTOEVENTO,$B80="S",$B80=0),SUBSTITUTE(OFFSET($A80,-1,0),IF($D80="Serviço",".",""),""),ROW(A80)-ROW($A$15)&amp;"."))</f>
        <v>65.</v>
      </c>
      <c r="B80" s="7">
        <f ca="1">OFFSET(ORÇAMENTO!C$15,ROW(B80)-ROW(B$15),0)</f>
        <v>1</v>
      </c>
      <c r="C80" s="7" t="str">
        <f ca="1">OFFSET(ORÇAMENTO!L$15,ROW(C80)-ROW(C$15),0)</f>
        <v>F</v>
      </c>
      <c r="D80" s="118" t="str">
        <f ca="1">OFFSET(ORÇAMENTO!N$15,ROW(D80)-ROW(D$15),0)</f>
        <v>Meta</v>
      </c>
      <c r="E80" s="119" t="str">
        <f ca="1">OFFSET(ORÇAMENTO!O$15,ROW(E80)-ROW(E$15),0)</f>
        <v>6.</v>
      </c>
      <c r="F80" s="172" t="str">
        <f ca="1">OFFSET(ORÇAMENTO!R$15,ROW(F80)-ROW(F$15),0)</f>
        <v>SERVIÇOS COMPLEMENTARES</v>
      </c>
      <c r="G80" s="173" t="str">
        <f ca="1">IF($D80&lt;&gt;"Serviço","",OFFSET(ORÇAMENTO!S$15,ROW(G80)-ROW(G$15),0))</f>
        <v/>
      </c>
      <c r="H80" s="124">
        <f ca="1">IF($D80&lt;&gt;"Serviço",0,IF(ACOMPANHAMENTO="BM",ROUND(OFFSET(ORÇAMENTO!AJ$15,ROW(H80)-ROW(H$15),0),15-13*ORÇAMENTO!$AF$7),SUMPRODUCT(($Q$12:$AA$12&lt;&gt;"")*ROUND($Q80:$AA80,15-13*ORÇAMENTO!$AF$7))))</f>
        <v>0</v>
      </c>
      <c r="I80" s="561"/>
      <c r="K80" s="174"/>
      <c r="L80" s="175" t="s">
        <v>255</v>
      </c>
      <c r="M80" s="176" t="str">
        <f ca="1">IF($D80&lt;&gt;"Serviço","",IF(AUTOEVENTO="manual",$A80,IF(ISERROR(MATCH($A80,$A$15:OFFSET($A80,-1,0),0)),MAX($M$15:OFFSET(M80,-1,0))+1,INDEX($M$15:OFFSET(M80,-1,0),MATCH($A80,$A$15:OFFSET($A80,-1,0),0)))))</f>
        <v/>
      </c>
      <c r="N80" s="177" t="str">
        <f ca="1">IF($D80&lt;&gt;"Serviço","",IF(AUTOEVENTO="Manual",IF($A80=0,"&lt;-- defina o número do agrupador",OFFSET(EVENTOS!$D$14,$A80,0)),OFFSET($F$15,$A80,0)))</f>
        <v/>
      </c>
      <c r="O80" s="178"/>
      <c r="Q80" s="178"/>
      <c r="R80" s="179"/>
      <c r="S80" s="179"/>
      <c r="T80" s="179"/>
      <c r="U80" s="179"/>
      <c r="V80" s="179"/>
      <c r="W80" s="179"/>
      <c r="X80" s="179"/>
      <c r="Y80" s="179"/>
      <c r="Z80" s="180"/>
      <c r="AB80" s="544">
        <f ca="1">IF(AND($D80="Serviço",AB$12&lt;&gt;0,$H80&gt;0,OR(AUTOEVENTO&lt;&gt;"manual",$M80&lt;&gt;1)),
IF(Import.TipoArredondamento&lt;&gt;"TransfereGOV",
ROUND(OFFSET($P80,0,AB$13),15-13*ORÇAMENTO!$AF$7)/$H80*OFFSET(ORÇAMENTO!$X$15,ROW(AB80)-ROW(AB$15),0),
ROUND(ROUND(OFFSET($P80,0,AB$13),15-13*ORÇAMENTO!$AF$7)*OFFSET(ORÇAMENTO!$W$15,ROW(AB80)-ROW(AB$15),0),15-13*ORÇAMENTO!$AF$11)),0)</f>
        <v>0</v>
      </c>
      <c r="AC80" s="545">
        <f ca="1">IF(AND($D80="Serviço",AC$12&lt;&gt;0,$H80&gt;0,OR(AUTOEVENTO&lt;&gt;"manual",$M80&lt;&gt;1)),
IF(Import.TipoArredondamento&lt;&gt;"TransfereGOV",
ROUND(OFFSET($P80,0,AC$13),15-13*ORÇAMENTO!$AF$7)/$H80*OFFSET(ORÇAMENTO!$X$15,ROW(AC80)-ROW(AC$15),0),
ROUND(ROUND(OFFSET($P80,0,AC$13),15-13*ORÇAMENTO!$AF$7)*OFFSET(ORÇAMENTO!$W$15,ROW(AC80)-ROW(AC$15),0),15-13*ORÇAMENTO!$AF$11)),0)</f>
        <v>0</v>
      </c>
      <c r="AD80" s="545">
        <f ca="1">IF(AND($D80="Serviço",AD$12&lt;&gt;0,$H80&gt;0,OR(AUTOEVENTO&lt;&gt;"manual",$M80&lt;&gt;1)),
IF(Import.TipoArredondamento&lt;&gt;"TransfereGOV",
ROUND(OFFSET($P80,0,AD$13),15-13*ORÇAMENTO!$AF$7)/$H80*OFFSET(ORÇAMENTO!$X$15,ROW(AD80)-ROW(AD$15),0),
ROUND(ROUND(OFFSET($P80,0,AD$13),15-13*ORÇAMENTO!$AF$7)*OFFSET(ORÇAMENTO!$W$15,ROW(AD80)-ROW(AD$15),0),15-13*ORÇAMENTO!$AF$11)),0)</f>
        <v>0</v>
      </c>
      <c r="AE80" s="545">
        <f ca="1">IF(AND($D80="Serviço",AE$12&lt;&gt;0,$H80&gt;0,OR(AUTOEVENTO&lt;&gt;"manual",$M80&lt;&gt;1)),
IF(Import.TipoArredondamento&lt;&gt;"TransfereGOV",
ROUND(OFFSET($P80,0,AE$13),15-13*ORÇAMENTO!$AF$7)/$H80*OFFSET(ORÇAMENTO!$X$15,ROW(AE80)-ROW(AE$15),0),
ROUND(ROUND(OFFSET($P80,0,AE$13),15-13*ORÇAMENTO!$AF$7)*OFFSET(ORÇAMENTO!$W$15,ROW(AE80)-ROW(AE$15),0),15-13*ORÇAMENTO!$AF$11)),0)</f>
        <v>0</v>
      </c>
      <c r="AF80" s="545">
        <f ca="1">IF(AND($D80="Serviço",AF$12&lt;&gt;0,$H80&gt;0,OR(AUTOEVENTO&lt;&gt;"manual",$M80&lt;&gt;1)),
IF(Import.TipoArredondamento&lt;&gt;"TransfereGOV",
ROUND(OFFSET($P80,0,AF$13),15-13*ORÇAMENTO!$AF$7)/$H80*OFFSET(ORÇAMENTO!$X$15,ROW(AF80)-ROW(AF$15),0),
ROUND(ROUND(OFFSET($P80,0,AF$13),15-13*ORÇAMENTO!$AF$7)*OFFSET(ORÇAMENTO!$W$15,ROW(AF80)-ROW(AF$15),0),15-13*ORÇAMENTO!$AF$11)),0)</f>
        <v>0</v>
      </c>
      <c r="AG80" s="545">
        <f ca="1">IF(AND($D80="Serviço",AG$12&lt;&gt;0,$H80&gt;0,OR(AUTOEVENTO&lt;&gt;"manual",$M80&lt;&gt;1)),
IF(Import.TipoArredondamento&lt;&gt;"TransfereGOV",
ROUND(OFFSET($P80,0,AG$13),15-13*ORÇAMENTO!$AF$7)/$H80*OFFSET(ORÇAMENTO!$X$15,ROW(AG80)-ROW(AG$15),0),
ROUND(ROUND(OFFSET($P80,0,AG$13),15-13*ORÇAMENTO!$AF$7)*OFFSET(ORÇAMENTO!$W$15,ROW(AG80)-ROW(AG$15),0),15-13*ORÇAMENTO!$AF$11)),0)</f>
        <v>0</v>
      </c>
      <c r="AH80" s="545">
        <f ca="1">IF(AND($D80="Serviço",AH$12&lt;&gt;0,$H80&gt;0,OR(AUTOEVENTO&lt;&gt;"manual",$M80&lt;&gt;1)),
IF(Import.TipoArredondamento&lt;&gt;"TransfereGOV",
ROUND(OFFSET($P80,0,AH$13),15-13*ORÇAMENTO!$AF$7)/$H80*OFFSET(ORÇAMENTO!$X$15,ROW(AH80)-ROW(AH$15),0),
ROUND(ROUND(OFFSET($P80,0,AH$13),15-13*ORÇAMENTO!$AF$7)*OFFSET(ORÇAMENTO!$W$15,ROW(AH80)-ROW(AH$15),0),15-13*ORÇAMENTO!$AF$11)),0)</f>
        <v>0</v>
      </c>
      <c r="AI80" s="545">
        <f ca="1">IF(AND($D80="Serviço",AI$12&lt;&gt;0,$H80&gt;0,OR(AUTOEVENTO&lt;&gt;"manual",$M80&lt;&gt;1)),
IF(Import.TipoArredondamento&lt;&gt;"TransfereGOV",
ROUND(OFFSET($P80,0,AI$13),15-13*ORÇAMENTO!$AF$7)/$H80*OFFSET(ORÇAMENTO!$X$15,ROW(AI80)-ROW(AI$15),0),
ROUND(ROUND(OFFSET($P80,0,AI$13),15-13*ORÇAMENTO!$AF$7)*OFFSET(ORÇAMENTO!$W$15,ROW(AI80)-ROW(AI$15),0),15-13*ORÇAMENTO!$AF$11)),0)</f>
        <v>0</v>
      </c>
      <c r="AJ80" s="545">
        <f ca="1">IF(AND($D80="Serviço",AJ$12&lt;&gt;0,$H80&gt;0,OR(AUTOEVENTO&lt;&gt;"manual",$M80&lt;&gt;1)),
IF(Import.TipoArredondamento&lt;&gt;"TransfereGOV",
ROUND(OFFSET($P80,0,AJ$13),15-13*ORÇAMENTO!$AF$7)/$H80*OFFSET(ORÇAMENTO!$X$15,ROW(AJ80)-ROW(AJ$15),0),
ROUND(ROUND(OFFSET($P80,0,AJ$13),15-13*ORÇAMENTO!$AF$7)*OFFSET(ORÇAMENTO!$W$15,ROW(AJ80)-ROW(AJ$15),0),15-13*ORÇAMENTO!$AF$11)),0)</f>
        <v>0</v>
      </c>
      <c r="AK80" s="546">
        <f ca="1">IF(AND($D80="Serviço",AK$12&lt;&gt;0,$H80&gt;0,OR(AUTOEVENTO&lt;&gt;"manual",$M80&lt;&gt;1)),
IF(Import.TipoArredondamento&lt;&gt;"TransfereGOV",
ROUND(OFFSET($P80,0,AK$13),15-13*ORÇAMENTO!$AF$7)/$H80*OFFSET(ORÇAMENTO!$X$15,ROW(AK80)-ROW(AK$15),0),
ROUND(ROUND(OFFSET($P80,0,AK$13),15-13*ORÇAMENTO!$AF$7)*OFFSET(ORÇAMENTO!$W$15,ROW(AK80)-ROW(AK$15),0),15-13*ORÇAMENTO!$AF$11)),0)</f>
        <v>0</v>
      </c>
      <c r="AM80" s="181">
        <f ca="1">IF($D80&lt;&gt;"Serviço",0,IF(AND(AUTOEVENTO="Manual",$M80=1),0,IF(OFFSET(CRONOPLE!$F$14,$M80,AM$13)="",10^12,OFFSET(CRONOPLE!$F$14,$M80,AM$13))))</f>
        <v>0</v>
      </c>
      <c r="AN80" s="181">
        <f ca="1">IF($D80&lt;&gt;"Serviço",0,IF(AND(AUTOEVENTO="Manual",$M80=1),0,IF(OFFSET(CRONOPLE!$F$14,$M80,AN$13)="",10^12,OFFSET(CRONOPLE!$F$14,$M80,AN$13))))</f>
        <v>0</v>
      </c>
      <c r="AO80" s="181">
        <f ca="1">IF($D80&lt;&gt;"Serviço",0,IF(AND(AUTOEVENTO="Manual",$M80=1),0,IF(OFFSET(CRONOPLE!$F$14,$M80,AO$13)="",10^12,OFFSET(CRONOPLE!$F$14,$M80,AO$13))))</f>
        <v>0</v>
      </c>
      <c r="AP80" s="181">
        <f ca="1">IF($D80&lt;&gt;"Serviço",0,IF(AND(AUTOEVENTO="Manual",$M80=1),0,IF(OFFSET(CRONOPLE!$F$14,$M80,AP$13)="",10^12,OFFSET(CRONOPLE!$F$14,$M80,AP$13))))</f>
        <v>0</v>
      </c>
      <c r="AQ80" s="181">
        <f ca="1">IF($D80&lt;&gt;"Serviço",0,IF(AND(AUTOEVENTO="Manual",$M80=1),0,IF(OFFSET(CRONOPLE!$F$14,$M80,AQ$13)="",10^12,OFFSET(CRONOPLE!$F$14,$M80,AQ$13))))</f>
        <v>0</v>
      </c>
      <c r="AR80" s="181">
        <f ca="1">IF($D80&lt;&gt;"Serviço",0,IF(AND(AUTOEVENTO="Manual",$M80=1),0,IF(OFFSET(CRONOPLE!$F$14,$M80,AR$13)="",10^12,OFFSET(CRONOPLE!$F$14,$M80,AR$13))))</f>
        <v>0</v>
      </c>
      <c r="AS80" s="181">
        <f ca="1">IF($D80&lt;&gt;"Serviço",0,IF(AND(AUTOEVENTO="Manual",$M80=1),0,IF(OFFSET(CRONOPLE!$F$14,$M80,AS$13)="",10^12,OFFSET(CRONOPLE!$F$14,$M80,AS$13))))</f>
        <v>0</v>
      </c>
      <c r="AT80" s="181">
        <f ca="1">IF($D80&lt;&gt;"Serviço",0,IF(AND(AUTOEVENTO="Manual",$M80=1),0,IF(OFFSET(CRONOPLE!$F$14,$M80,AT$13)="",10^12,OFFSET(CRONOPLE!$F$14,$M80,AT$13))))</f>
        <v>0</v>
      </c>
      <c r="AU80" s="181">
        <f ca="1">IF($D80&lt;&gt;"Serviço",0,IF(AND(AUTOEVENTO="Manual",$M80=1),0,IF(OFFSET(CRONOPLE!$F$14,$M80,AU$13)="",10^12,OFFSET(CRONOPLE!$F$14,$M80,AU$13))))</f>
        <v>0</v>
      </c>
      <c r="AV80" s="181">
        <f ca="1">IF($D80&lt;&gt;"Serviço",0,IF(AND(AUTOEVENTO="Manual",$M80=1),0,IF(OFFSET(CRONOPLE!$F$14,$M80,AV$13)="",10^12,OFFSET(CRONOPLE!$F$14,$M80,AV$13))))</f>
        <v>0</v>
      </c>
      <c r="AX80" s="182">
        <f ca="1">IF($D80&lt;&gt;"Serviço",0,IF(OR(AND(AUTOEVENTO="Manual",$M80=1),$M80&gt;(ROW(PLE.lastrow)-ROW(PLE.firstrow))),0,IF(OFFSET(PLE!$G$14,$M80,AX$13)="",10^12,OFFSET(PLE!$G$14,$M80,AX$13))))</f>
        <v>0</v>
      </c>
      <c r="AY80" s="182">
        <f ca="1">IF($D80&lt;&gt;"Serviço",0,IF(OR(AND(AUTOEVENTO="Manual",$M80=1),$M80&gt;(ROW(PLE.lastrow)-ROW(PLE.firstrow))),0,IF(OFFSET(PLE!$G$14,$M80,AY$13)="",10^12,OFFSET(PLE!$G$14,$M80,AY$13))))</f>
        <v>0</v>
      </c>
      <c r="AZ80" s="182">
        <f ca="1">IF($D80&lt;&gt;"Serviço",0,IF(OR(AND(AUTOEVENTO="Manual",$M80=1),$M80&gt;(ROW(PLE.lastrow)-ROW(PLE.firstrow))),0,IF(OFFSET(PLE!$G$14,$M80,AZ$13)="",10^12,OFFSET(PLE!$G$14,$M80,AZ$13))))</f>
        <v>0</v>
      </c>
      <c r="BA80" s="182">
        <f ca="1">IF($D80&lt;&gt;"Serviço",0,IF(OR(AND(AUTOEVENTO="Manual",$M80=1),$M80&gt;(ROW(PLE.lastrow)-ROW(PLE.firstrow))),0,IF(OFFSET(PLE!$G$14,$M80,BA$13)="",10^12,OFFSET(PLE!$G$14,$M80,BA$13))))</f>
        <v>0</v>
      </c>
      <c r="BB80" s="182">
        <f ca="1">IF($D80&lt;&gt;"Serviço",0,IF(OR(AND(AUTOEVENTO="Manual",$M80=1),$M80&gt;(ROW(PLE.lastrow)-ROW(PLE.firstrow))),0,IF(OFFSET(PLE!$G$14,$M80,BB$13)="",10^12,OFFSET(PLE!$G$14,$M80,BB$13))))</f>
        <v>0</v>
      </c>
      <c r="BC80" s="182">
        <f ca="1">IF($D80&lt;&gt;"Serviço",0,IF(OR(AND(AUTOEVENTO="Manual",$M80=1),$M80&gt;(ROW(PLE.lastrow)-ROW(PLE.firstrow))),0,IF(OFFSET(PLE!$G$14,$M80,BC$13)="",10^12,OFFSET(PLE!$G$14,$M80,BC$13))))</f>
        <v>0</v>
      </c>
      <c r="BD80" s="182">
        <f ca="1">IF($D80&lt;&gt;"Serviço",0,IF(OR(AND(AUTOEVENTO="Manual",$M80=1),$M80&gt;(ROW(PLE.lastrow)-ROW(PLE.firstrow))),0,IF(OFFSET(PLE!$G$14,$M80,BD$13)="",10^12,OFFSET(PLE!$G$14,$M80,BD$13))))</f>
        <v>0</v>
      </c>
      <c r="BE80" s="182">
        <f ca="1">IF($D80&lt;&gt;"Serviço",0,IF(OR(AND(AUTOEVENTO="Manual",$M80=1),$M80&gt;(ROW(PLE.lastrow)-ROW(PLE.firstrow))),0,IF(OFFSET(PLE!$G$14,$M80,BE$13)="",10^12,OFFSET(PLE!$G$14,$M80,BE$13))))</f>
        <v>0</v>
      </c>
      <c r="BF80" s="182">
        <f ca="1">IF($D80&lt;&gt;"Serviço",0,IF(OR(AND(AUTOEVENTO="Manual",$M80=1),$M80&gt;(ROW(PLE.lastrow)-ROW(PLE.firstrow))),0,IF(OFFSET(PLE!$G$14,$M80,BF$13)="",10^12,OFFSET(PLE!$G$14,$M80,BF$13))))</f>
        <v>0</v>
      </c>
      <c r="BG80" s="182">
        <f ca="1">IF($D80&lt;&gt;"Serviço",0,IF(OR(AND(AUTOEVENTO="Manual",$M80=1),$M80&gt;(ROW(PLE.lastrow)-ROW(PLE.firstrow))),0,IF(OFFSET(PLE!$G$14,$M80,BG$13)="",10^12,OFFSET(PLE!$G$14,$M80,BG$13))))</f>
        <v>0</v>
      </c>
    </row>
    <row r="81" spans="1:59" ht="12.75" x14ac:dyDescent="0.2">
      <c r="A81" s="7" t="str">
        <f t="shared" ca="1" si="11"/>
        <v>66.</v>
      </c>
      <c r="B81" s="7">
        <f ca="1">OFFSET(ORÇAMENTO!C$15,ROW(B81)-ROW(B$15),0)</f>
        <v>2</v>
      </c>
      <c r="C81" s="7" t="str">
        <f ca="1">OFFSET(ORÇAMENTO!L$15,ROW(C81)-ROW(C$15),0)</f>
        <v>F</v>
      </c>
      <c r="D81" s="118" t="str">
        <f ca="1">OFFSET(ORÇAMENTO!N$15,ROW(D81)-ROW(D$15),0)</f>
        <v>Nível 2</v>
      </c>
      <c r="E81" s="119" t="str">
        <f ca="1">OFFSET(ORÇAMENTO!O$15,ROW(E81)-ROW(E$15),0)</f>
        <v>6.1.</v>
      </c>
      <c r="F81" s="172" t="str">
        <f ca="1">OFFSET(ORÇAMENTO!R$15,ROW(F81)-ROW(F$15),0)</f>
        <v>RAMAL DE ENTRADA DE ENERGIA</v>
      </c>
      <c r="G81" s="173" t="str">
        <f ca="1">IF($D81&lt;&gt;"Serviço","",OFFSET(ORÇAMENTO!S$15,ROW(G81)-ROW(G$15),0))</f>
        <v/>
      </c>
      <c r="H81" s="124">
        <f ca="1">IF($D81&lt;&gt;"Serviço",0,IF(ACOMPANHAMENTO="BM",ROUND(OFFSET(ORÇAMENTO!AJ$15,ROW(H81)-ROW(H$15),0),15-13*ORÇAMENTO!$AF$7),SUMPRODUCT(($Q$12:$AA$12&lt;&gt;"")*ROUND($Q81:$AA81,15-13*ORÇAMENTO!$AF$7))))</f>
        <v>0</v>
      </c>
      <c r="I81" s="561"/>
      <c r="K81" s="174"/>
      <c r="L81" s="175" t="s">
        <v>255</v>
      </c>
      <c r="M81" s="176" t="str">
        <f ca="1">IF($D81&lt;&gt;"Serviço","",IF(AUTOEVENTO="manual",$A81,IF(ISERROR(MATCH($A81,$A$15:OFFSET($A81,-1,0),0)),MAX($M$15:OFFSET(M81,-1,0))+1,INDEX($M$15:OFFSET(M81,-1,0),MATCH($A81,$A$15:OFFSET($A81,-1,0),0)))))</f>
        <v/>
      </c>
      <c r="N81" s="177" t="str">
        <f ca="1">IF($D81&lt;&gt;"Serviço","",IF(AUTOEVENTO="Manual",IF($A81=0,"&lt;-- defina o número do agrupador",OFFSET(EVENTOS!$D$14,$A81,0)),OFFSET($F$15,$A81,0)))</f>
        <v/>
      </c>
      <c r="O81" s="178"/>
      <c r="Q81" s="178"/>
      <c r="R81" s="179"/>
      <c r="S81" s="179"/>
      <c r="T81" s="179"/>
      <c r="U81" s="179"/>
      <c r="V81" s="179"/>
      <c r="W81" s="179"/>
      <c r="X81" s="179"/>
      <c r="Y81" s="179"/>
      <c r="Z81" s="180"/>
      <c r="AB81" s="544">
        <f ca="1">IF(AND($D81="Serviço",AB$12&lt;&gt;0,$H81&gt;0,OR(AUTOEVENTO&lt;&gt;"manual",$M81&lt;&gt;1)),
IF(Import.TipoArredondamento&lt;&gt;"TransfereGOV",
ROUND(OFFSET($P81,0,AB$13),15-13*ORÇAMENTO!$AF$7)/$H81*OFFSET(ORÇAMENTO!$X$15,ROW(AB81)-ROW(AB$15),0),
ROUND(ROUND(OFFSET($P81,0,AB$13),15-13*ORÇAMENTO!$AF$7)*OFFSET(ORÇAMENTO!$W$15,ROW(AB81)-ROW(AB$15),0),15-13*ORÇAMENTO!$AF$11)),0)</f>
        <v>0</v>
      </c>
      <c r="AC81" s="545">
        <f ca="1">IF(AND($D81="Serviço",AC$12&lt;&gt;0,$H81&gt;0,OR(AUTOEVENTO&lt;&gt;"manual",$M81&lt;&gt;1)),
IF(Import.TipoArredondamento&lt;&gt;"TransfereGOV",
ROUND(OFFSET($P81,0,AC$13),15-13*ORÇAMENTO!$AF$7)/$H81*OFFSET(ORÇAMENTO!$X$15,ROW(AC81)-ROW(AC$15),0),
ROUND(ROUND(OFFSET($P81,0,AC$13),15-13*ORÇAMENTO!$AF$7)*OFFSET(ORÇAMENTO!$W$15,ROW(AC81)-ROW(AC$15),0),15-13*ORÇAMENTO!$AF$11)),0)</f>
        <v>0</v>
      </c>
      <c r="AD81" s="545">
        <f ca="1">IF(AND($D81="Serviço",AD$12&lt;&gt;0,$H81&gt;0,OR(AUTOEVENTO&lt;&gt;"manual",$M81&lt;&gt;1)),
IF(Import.TipoArredondamento&lt;&gt;"TransfereGOV",
ROUND(OFFSET($P81,0,AD$13),15-13*ORÇAMENTO!$AF$7)/$H81*OFFSET(ORÇAMENTO!$X$15,ROW(AD81)-ROW(AD$15),0),
ROUND(ROUND(OFFSET($P81,0,AD$13),15-13*ORÇAMENTO!$AF$7)*OFFSET(ORÇAMENTO!$W$15,ROW(AD81)-ROW(AD$15),0),15-13*ORÇAMENTO!$AF$11)),0)</f>
        <v>0</v>
      </c>
      <c r="AE81" s="545">
        <f ca="1">IF(AND($D81="Serviço",AE$12&lt;&gt;0,$H81&gt;0,OR(AUTOEVENTO&lt;&gt;"manual",$M81&lt;&gt;1)),
IF(Import.TipoArredondamento&lt;&gt;"TransfereGOV",
ROUND(OFFSET($P81,0,AE$13),15-13*ORÇAMENTO!$AF$7)/$H81*OFFSET(ORÇAMENTO!$X$15,ROW(AE81)-ROW(AE$15),0),
ROUND(ROUND(OFFSET($P81,0,AE$13),15-13*ORÇAMENTO!$AF$7)*OFFSET(ORÇAMENTO!$W$15,ROW(AE81)-ROW(AE$15),0),15-13*ORÇAMENTO!$AF$11)),0)</f>
        <v>0</v>
      </c>
      <c r="AF81" s="545">
        <f ca="1">IF(AND($D81="Serviço",AF$12&lt;&gt;0,$H81&gt;0,OR(AUTOEVENTO&lt;&gt;"manual",$M81&lt;&gt;1)),
IF(Import.TipoArredondamento&lt;&gt;"TransfereGOV",
ROUND(OFFSET($P81,0,AF$13),15-13*ORÇAMENTO!$AF$7)/$H81*OFFSET(ORÇAMENTO!$X$15,ROW(AF81)-ROW(AF$15),0),
ROUND(ROUND(OFFSET($P81,0,AF$13),15-13*ORÇAMENTO!$AF$7)*OFFSET(ORÇAMENTO!$W$15,ROW(AF81)-ROW(AF$15),0),15-13*ORÇAMENTO!$AF$11)),0)</f>
        <v>0</v>
      </c>
      <c r="AG81" s="545">
        <f ca="1">IF(AND($D81="Serviço",AG$12&lt;&gt;0,$H81&gt;0,OR(AUTOEVENTO&lt;&gt;"manual",$M81&lt;&gt;1)),
IF(Import.TipoArredondamento&lt;&gt;"TransfereGOV",
ROUND(OFFSET($P81,0,AG$13),15-13*ORÇAMENTO!$AF$7)/$H81*OFFSET(ORÇAMENTO!$X$15,ROW(AG81)-ROW(AG$15),0),
ROUND(ROUND(OFFSET($P81,0,AG$13),15-13*ORÇAMENTO!$AF$7)*OFFSET(ORÇAMENTO!$W$15,ROW(AG81)-ROW(AG$15),0),15-13*ORÇAMENTO!$AF$11)),0)</f>
        <v>0</v>
      </c>
      <c r="AH81" s="545">
        <f ca="1">IF(AND($D81="Serviço",AH$12&lt;&gt;0,$H81&gt;0,OR(AUTOEVENTO&lt;&gt;"manual",$M81&lt;&gt;1)),
IF(Import.TipoArredondamento&lt;&gt;"TransfereGOV",
ROUND(OFFSET($P81,0,AH$13),15-13*ORÇAMENTO!$AF$7)/$H81*OFFSET(ORÇAMENTO!$X$15,ROW(AH81)-ROW(AH$15),0),
ROUND(ROUND(OFFSET($P81,0,AH$13),15-13*ORÇAMENTO!$AF$7)*OFFSET(ORÇAMENTO!$W$15,ROW(AH81)-ROW(AH$15),0),15-13*ORÇAMENTO!$AF$11)),0)</f>
        <v>0</v>
      </c>
      <c r="AI81" s="545">
        <f ca="1">IF(AND($D81="Serviço",AI$12&lt;&gt;0,$H81&gt;0,OR(AUTOEVENTO&lt;&gt;"manual",$M81&lt;&gt;1)),
IF(Import.TipoArredondamento&lt;&gt;"TransfereGOV",
ROUND(OFFSET($P81,0,AI$13),15-13*ORÇAMENTO!$AF$7)/$H81*OFFSET(ORÇAMENTO!$X$15,ROW(AI81)-ROW(AI$15),0),
ROUND(ROUND(OFFSET($P81,0,AI$13),15-13*ORÇAMENTO!$AF$7)*OFFSET(ORÇAMENTO!$W$15,ROW(AI81)-ROW(AI$15),0),15-13*ORÇAMENTO!$AF$11)),0)</f>
        <v>0</v>
      </c>
      <c r="AJ81" s="545">
        <f ca="1">IF(AND($D81="Serviço",AJ$12&lt;&gt;0,$H81&gt;0,OR(AUTOEVENTO&lt;&gt;"manual",$M81&lt;&gt;1)),
IF(Import.TipoArredondamento&lt;&gt;"TransfereGOV",
ROUND(OFFSET($P81,0,AJ$13),15-13*ORÇAMENTO!$AF$7)/$H81*OFFSET(ORÇAMENTO!$X$15,ROW(AJ81)-ROW(AJ$15),0),
ROUND(ROUND(OFFSET($P81,0,AJ$13),15-13*ORÇAMENTO!$AF$7)*OFFSET(ORÇAMENTO!$W$15,ROW(AJ81)-ROW(AJ$15),0),15-13*ORÇAMENTO!$AF$11)),0)</f>
        <v>0</v>
      </c>
      <c r="AK81" s="546">
        <f ca="1">IF(AND($D81="Serviço",AK$12&lt;&gt;0,$H81&gt;0,OR(AUTOEVENTO&lt;&gt;"manual",$M81&lt;&gt;1)),
IF(Import.TipoArredondamento&lt;&gt;"TransfereGOV",
ROUND(OFFSET($P81,0,AK$13),15-13*ORÇAMENTO!$AF$7)/$H81*OFFSET(ORÇAMENTO!$X$15,ROW(AK81)-ROW(AK$15),0),
ROUND(ROUND(OFFSET($P81,0,AK$13),15-13*ORÇAMENTO!$AF$7)*OFFSET(ORÇAMENTO!$W$15,ROW(AK81)-ROW(AK$15),0),15-13*ORÇAMENTO!$AF$11)),0)</f>
        <v>0</v>
      </c>
      <c r="AM81" s="181">
        <f ca="1">IF($D81&lt;&gt;"Serviço",0,IF(AND(AUTOEVENTO="Manual",$M81=1),0,IF(OFFSET(CRONOPLE!$F$14,$M81,AM$13)="",10^12,OFFSET(CRONOPLE!$F$14,$M81,AM$13))))</f>
        <v>0</v>
      </c>
      <c r="AN81" s="181">
        <f ca="1">IF($D81&lt;&gt;"Serviço",0,IF(AND(AUTOEVENTO="Manual",$M81=1),0,IF(OFFSET(CRONOPLE!$F$14,$M81,AN$13)="",10^12,OFFSET(CRONOPLE!$F$14,$M81,AN$13))))</f>
        <v>0</v>
      </c>
      <c r="AO81" s="181">
        <f ca="1">IF($D81&lt;&gt;"Serviço",0,IF(AND(AUTOEVENTO="Manual",$M81=1),0,IF(OFFSET(CRONOPLE!$F$14,$M81,AO$13)="",10^12,OFFSET(CRONOPLE!$F$14,$M81,AO$13))))</f>
        <v>0</v>
      </c>
      <c r="AP81" s="181">
        <f ca="1">IF($D81&lt;&gt;"Serviço",0,IF(AND(AUTOEVENTO="Manual",$M81=1),0,IF(OFFSET(CRONOPLE!$F$14,$M81,AP$13)="",10^12,OFFSET(CRONOPLE!$F$14,$M81,AP$13))))</f>
        <v>0</v>
      </c>
      <c r="AQ81" s="181">
        <f ca="1">IF($D81&lt;&gt;"Serviço",0,IF(AND(AUTOEVENTO="Manual",$M81=1),0,IF(OFFSET(CRONOPLE!$F$14,$M81,AQ$13)="",10^12,OFFSET(CRONOPLE!$F$14,$M81,AQ$13))))</f>
        <v>0</v>
      </c>
      <c r="AR81" s="181">
        <f ca="1">IF($D81&lt;&gt;"Serviço",0,IF(AND(AUTOEVENTO="Manual",$M81=1),0,IF(OFFSET(CRONOPLE!$F$14,$M81,AR$13)="",10^12,OFFSET(CRONOPLE!$F$14,$M81,AR$13))))</f>
        <v>0</v>
      </c>
      <c r="AS81" s="181">
        <f ca="1">IF($D81&lt;&gt;"Serviço",0,IF(AND(AUTOEVENTO="Manual",$M81=1),0,IF(OFFSET(CRONOPLE!$F$14,$M81,AS$13)="",10^12,OFFSET(CRONOPLE!$F$14,$M81,AS$13))))</f>
        <v>0</v>
      </c>
      <c r="AT81" s="181">
        <f ca="1">IF($D81&lt;&gt;"Serviço",0,IF(AND(AUTOEVENTO="Manual",$M81=1),0,IF(OFFSET(CRONOPLE!$F$14,$M81,AT$13)="",10^12,OFFSET(CRONOPLE!$F$14,$M81,AT$13))))</f>
        <v>0</v>
      </c>
      <c r="AU81" s="181">
        <f ca="1">IF($D81&lt;&gt;"Serviço",0,IF(AND(AUTOEVENTO="Manual",$M81=1),0,IF(OFFSET(CRONOPLE!$F$14,$M81,AU$13)="",10^12,OFFSET(CRONOPLE!$F$14,$M81,AU$13))))</f>
        <v>0</v>
      </c>
      <c r="AV81" s="181">
        <f ca="1">IF($D81&lt;&gt;"Serviço",0,IF(AND(AUTOEVENTO="Manual",$M81=1),0,IF(OFFSET(CRONOPLE!$F$14,$M81,AV$13)="",10^12,OFFSET(CRONOPLE!$F$14,$M81,AV$13))))</f>
        <v>0</v>
      </c>
      <c r="AX81" s="182">
        <f ca="1">IF($D81&lt;&gt;"Serviço",0,IF(OR(AND(AUTOEVENTO="Manual",$M81=1),$M81&gt;(ROW(PLE.lastrow)-ROW(PLE.firstrow))),0,IF(OFFSET(PLE!$G$14,$M81,AX$13)="",10^12,OFFSET(PLE!$G$14,$M81,AX$13))))</f>
        <v>0</v>
      </c>
      <c r="AY81" s="182">
        <f ca="1">IF($D81&lt;&gt;"Serviço",0,IF(OR(AND(AUTOEVENTO="Manual",$M81=1),$M81&gt;(ROW(PLE.lastrow)-ROW(PLE.firstrow))),0,IF(OFFSET(PLE!$G$14,$M81,AY$13)="",10^12,OFFSET(PLE!$G$14,$M81,AY$13))))</f>
        <v>0</v>
      </c>
      <c r="AZ81" s="182">
        <f ca="1">IF($D81&lt;&gt;"Serviço",0,IF(OR(AND(AUTOEVENTO="Manual",$M81=1),$M81&gt;(ROW(PLE.lastrow)-ROW(PLE.firstrow))),0,IF(OFFSET(PLE!$G$14,$M81,AZ$13)="",10^12,OFFSET(PLE!$G$14,$M81,AZ$13))))</f>
        <v>0</v>
      </c>
      <c r="BA81" s="182">
        <f ca="1">IF($D81&lt;&gt;"Serviço",0,IF(OR(AND(AUTOEVENTO="Manual",$M81=1),$M81&gt;(ROW(PLE.lastrow)-ROW(PLE.firstrow))),0,IF(OFFSET(PLE!$G$14,$M81,BA$13)="",10^12,OFFSET(PLE!$G$14,$M81,BA$13))))</f>
        <v>0</v>
      </c>
      <c r="BB81" s="182">
        <f ca="1">IF($D81&lt;&gt;"Serviço",0,IF(OR(AND(AUTOEVENTO="Manual",$M81=1),$M81&gt;(ROW(PLE.lastrow)-ROW(PLE.firstrow))),0,IF(OFFSET(PLE!$G$14,$M81,BB$13)="",10^12,OFFSET(PLE!$G$14,$M81,BB$13))))</f>
        <v>0</v>
      </c>
      <c r="BC81" s="182">
        <f ca="1">IF($D81&lt;&gt;"Serviço",0,IF(OR(AND(AUTOEVENTO="Manual",$M81=1),$M81&gt;(ROW(PLE.lastrow)-ROW(PLE.firstrow))),0,IF(OFFSET(PLE!$G$14,$M81,BC$13)="",10^12,OFFSET(PLE!$G$14,$M81,BC$13))))</f>
        <v>0</v>
      </c>
      <c r="BD81" s="182">
        <f ca="1">IF($D81&lt;&gt;"Serviço",0,IF(OR(AND(AUTOEVENTO="Manual",$M81=1),$M81&gt;(ROW(PLE.lastrow)-ROW(PLE.firstrow))),0,IF(OFFSET(PLE!$G$14,$M81,BD$13)="",10^12,OFFSET(PLE!$G$14,$M81,BD$13))))</f>
        <v>0</v>
      </c>
      <c r="BE81" s="182">
        <f ca="1">IF($D81&lt;&gt;"Serviço",0,IF(OR(AND(AUTOEVENTO="Manual",$M81=1),$M81&gt;(ROW(PLE.lastrow)-ROW(PLE.firstrow))),0,IF(OFFSET(PLE!$G$14,$M81,BE$13)="",10^12,OFFSET(PLE!$G$14,$M81,BE$13))))</f>
        <v>0</v>
      </c>
      <c r="BF81" s="182">
        <f ca="1">IF($D81&lt;&gt;"Serviço",0,IF(OR(AND(AUTOEVENTO="Manual",$M81=1),$M81&gt;(ROW(PLE.lastrow)-ROW(PLE.firstrow))),0,IF(OFFSET(PLE!$G$14,$M81,BF$13)="",10^12,OFFSET(PLE!$G$14,$M81,BF$13))))</f>
        <v>0</v>
      </c>
      <c r="BG81" s="182">
        <f ca="1">IF($D81&lt;&gt;"Serviço",0,IF(OR(AND(AUTOEVENTO="Manual",$M81=1),$M81&gt;(ROW(PLE.lastrow)-ROW(PLE.firstrow))),0,IF(OFFSET(PLE!$G$14,$M81,BG$13)="",10^12,OFFSET(PLE!$G$14,$M81,BG$13))))</f>
        <v>0</v>
      </c>
    </row>
    <row r="82" spans="1:59" ht="38.25" x14ac:dyDescent="0.2">
      <c r="A82" s="7" t="str">
        <f t="shared" ca="1" si="11"/>
        <v>66</v>
      </c>
      <c r="B82" s="7" t="str">
        <f ca="1">OFFSET(ORÇAMENTO!C$15,ROW(B82)-ROW(B$15),0)</f>
        <v>S</v>
      </c>
      <c r="C82" s="7" t="str">
        <f ca="1">OFFSET(ORÇAMENTO!L$15,ROW(C82)-ROW(C$15),0)</f>
        <v>F</v>
      </c>
      <c r="D82" s="118" t="str">
        <f ca="1">OFFSET(ORÇAMENTO!N$15,ROW(D82)-ROW(D$15),0)</f>
        <v>Serviço</v>
      </c>
      <c r="E82" s="119" t="str">
        <f ca="1">OFFSET(ORÇAMENTO!O$15,ROW(E82)-ROW(E$15),0)</f>
        <v>6.1.1.</v>
      </c>
      <c r="F82" s="172" t="str">
        <f ca="1">OFFSET(ORÇAMENTO!R$15,ROW(F82)-ROW(F$15),0)</f>
        <v>ENTRADA DE ENERGIA ELÉTRICA, AÉREA, BIFÁSICA, COM CAIXA DE EMBUTIR, CABO DE 10 MM2 E DISJUNTOR DIN 50A (NÃO INCLUSO O POSTE DE CONCRETO). AF_12/2025</v>
      </c>
      <c r="G82" s="173" t="str">
        <f ca="1">IF($D82&lt;&gt;"Serviço","",OFFSET(ORÇAMENTO!S$15,ROW(G82)-ROW(G$15),0))</f>
        <v>UN</v>
      </c>
      <c r="H82" s="124">
        <f ca="1">IF($D82&lt;&gt;"Serviço",0,IF(ACOMPANHAMENTO="BM",ROUND(OFFSET(ORÇAMENTO!AJ$15,ROW(H82)-ROW(H$15),0),15-13*ORÇAMENTO!$AF$7),SUMPRODUCT(($Q$12:$AA$12&lt;&gt;"")*ROUND($Q82:$AA82,15-13*ORÇAMENTO!$AF$7))))</f>
        <v>1</v>
      </c>
      <c r="I82" s="561"/>
      <c r="K82" s="174"/>
      <c r="L82" s="175" t="s">
        <v>255</v>
      </c>
      <c r="M82" s="176">
        <f ca="1">IF($D82&lt;&gt;"Serviço","",IF(AUTOEVENTO="manual",$A82,IF(ISERROR(MATCH($A82,$A$15:OFFSET($A82,-1,0),0)),MAX($M$15:OFFSET(M82,-1,0))+1,INDEX($M$15:OFFSET(M82,-1,0),MATCH($A82,$A$15:OFFSET($A82,-1,0),0)))))</f>
        <v>14</v>
      </c>
      <c r="N82" s="177" t="str">
        <f ca="1">IF($D82&lt;&gt;"Serviço","",IF(AUTOEVENTO="Manual",IF($A82=0,"&lt;-- defina o número do agrupador",OFFSET(EVENTOS!$D$14,$A82,0)),OFFSET($F$15,$A82,0)))</f>
        <v>RAMAL DE ENTRADA DE ENERGIA</v>
      </c>
      <c r="O82" s="178"/>
      <c r="Q82" s="178"/>
      <c r="R82" s="179"/>
      <c r="S82" s="179"/>
      <c r="T82" s="179"/>
      <c r="U82" s="179"/>
      <c r="V82" s="179"/>
      <c r="W82" s="179"/>
      <c r="X82" s="179"/>
      <c r="Y82" s="179"/>
      <c r="Z82" s="180"/>
      <c r="AB82" s="544">
        <f ca="1">IF(AND($D82="Serviço",AB$12&lt;&gt;0,$H82&gt;0,OR(AUTOEVENTO&lt;&gt;"manual",$M82&lt;&gt;1)),
IF(Import.TipoArredondamento&lt;&gt;"TransfereGOV",
ROUND(OFFSET($P82,0,AB$13),15-13*ORÇAMENTO!$AF$7)/$H82*OFFSET(ORÇAMENTO!$X$15,ROW(AB82)-ROW(AB$15),0),
ROUND(ROUND(OFFSET($P82,0,AB$13),15-13*ORÇAMENTO!$AF$7)*OFFSET(ORÇAMENTO!$W$15,ROW(AB82)-ROW(AB$15),0),15-13*ORÇAMENTO!$AF$11)),0)</f>
        <v>0</v>
      </c>
      <c r="AC82" s="545">
        <f ca="1">IF(AND($D82="Serviço",AC$12&lt;&gt;0,$H82&gt;0,OR(AUTOEVENTO&lt;&gt;"manual",$M82&lt;&gt;1)),
IF(Import.TipoArredondamento&lt;&gt;"TransfereGOV",
ROUND(OFFSET($P82,0,AC$13),15-13*ORÇAMENTO!$AF$7)/$H82*OFFSET(ORÇAMENTO!$X$15,ROW(AC82)-ROW(AC$15),0),
ROUND(ROUND(OFFSET($P82,0,AC$13),15-13*ORÇAMENTO!$AF$7)*OFFSET(ORÇAMENTO!$W$15,ROW(AC82)-ROW(AC$15),0),15-13*ORÇAMENTO!$AF$11)),0)</f>
        <v>0</v>
      </c>
      <c r="AD82" s="545">
        <f ca="1">IF(AND($D82="Serviço",AD$12&lt;&gt;0,$H82&gt;0,OR(AUTOEVENTO&lt;&gt;"manual",$M82&lt;&gt;1)),
IF(Import.TipoArredondamento&lt;&gt;"TransfereGOV",
ROUND(OFFSET($P82,0,AD$13),15-13*ORÇAMENTO!$AF$7)/$H82*OFFSET(ORÇAMENTO!$X$15,ROW(AD82)-ROW(AD$15),0),
ROUND(ROUND(OFFSET($P82,0,AD$13),15-13*ORÇAMENTO!$AF$7)*OFFSET(ORÇAMENTO!$W$15,ROW(AD82)-ROW(AD$15),0),15-13*ORÇAMENTO!$AF$11)),0)</f>
        <v>0</v>
      </c>
      <c r="AE82" s="545">
        <f ca="1">IF(AND($D82="Serviço",AE$12&lt;&gt;0,$H82&gt;0,OR(AUTOEVENTO&lt;&gt;"manual",$M82&lt;&gt;1)),
IF(Import.TipoArredondamento&lt;&gt;"TransfereGOV",
ROUND(OFFSET($P82,0,AE$13),15-13*ORÇAMENTO!$AF$7)/$H82*OFFSET(ORÇAMENTO!$X$15,ROW(AE82)-ROW(AE$15),0),
ROUND(ROUND(OFFSET($P82,0,AE$13),15-13*ORÇAMENTO!$AF$7)*OFFSET(ORÇAMENTO!$W$15,ROW(AE82)-ROW(AE$15),0),15-13*ORÇAMENTO!$AF$11)),0)</f>
        <v>0</v>
      </c>
      <c r="AF82" s="545">
        <f ca="1">IF(AND($D82="Serviço",AF$12&lt;&gt;0,$H82&gt;0,OR(AUTOEVENTO&lt;&gt;"manual",$M82&lt;&gt;1)),
IF(Import.TipoArredondamento&lt;&gt;"TransfereGOV",
ROUND(OFFSET($P82,0,AF$13),15-13*ORÇAMENTO!$AF$7)/$H82*OFFSET(ORÇAMENTO!$X$15,ROW(AF82)-ROW(AF$15),0),
ROUND(ROUND(OFFSET($P82,0,AF$13),15-13*ORÇAMENTO!$AF$7)*OFFSET(ORÇAMENTO!$W$15,ROW(AF82)-ROW(AF$15),0),15-13*ORÇAMENTO!$AF$11)),0)</f>
        <v>0</v>
      </c>
      <c r="AG82" s="545">
        <f ca="1">IF(AND($D82="Serviço",AG$12&lt;&gt;0,$H82&gt;0,OR(AUTOEVENTO&lt;&gt;"manual",$M82&lt;&gt;1)),
IF(Import.TipoArredondamento&lt;&gt;"TransfereGOV",
ROUND(OFFSET($P82,0,AG$13),15-13*ORÇAMENTO!$AF$7)/$H82*OFFSET(ORÇAMENTO!$X$15,ROW(AG82)-ROW(AG$15),0),
ROUND(ROUND(OFFSET($P82,0,AG$13),15-13*ORÇAMENTO!$AF$7)*OFFSET(ORÇAMENTO!$W$15,ROW(AG82)-ROW(AG$15),0),15-13*ORÇAMENTO!$AF$11)),0)</f>
        <v>0</v>
      </c>
      <c r="AH82" s="545">
        <f ca="1">IF(AND($D82="Serviço",AH$12&lt;&gt;0,$H82&gt;0,OR(AUTOEVENTO&lt;&gt;"manual",$M82&lt;&gt;1)),
IF(Import.TipoArredondamento&lt;&gt;"TransfereGOV",
ROUND(OFFSET($P82,0,AH$13),15-13*ORÇAMENTO!$AF$7)/$H82*OFFSET(ORÇAMENTO!$X$15,ROW(AH82)-ROW(AH$15),0),
ROUND(ROUND(OFFSET($P82,0,AH$13),15-13*ORÇAMENTO!$AF$7)*OFFSET(ORÇAMENTO!$W$15,ROW(AH82)-ROW(AH$15),0),15-13*ORÇAMENTO!$AF$11)),0)</f>
        <v>0</v>
      </c>
      <c r="AI82" s="545">
        <f ca="1">IF(AND($D82="Serviço",AI$12&lt;&gt;0,$H82&gt;0,OR(AUTOEVENTO&lt;&gt;"manual",$M82&lt;&gt;1)),
IF(Import.TipoArredondamento&lt;&gt;"TransfereGOV",
ROUND(OFFSET($P82,0,AI$13),15-13*ORÇAMENTO!$AF$7)/$H82*OFFSET(ORÇAMENTO!$X$15,ROW(AI82)-ROW(AI$15),0),
ROUND(ROUND(OFFSET($P82,0,AI$13),15-13*ORÇAMENTO!$AF$7)*OFFSET(ORÇAMENTO!$W$15,ROW(AI82)-ROW(AI$15),0),15-13*ORÇAMENTO!$AF$11)),0)</f>
        <v>0</v>
      </c>
      <c r="AJ82" s="545">
        <f ca="1">IF(AND($D82="Serviço",AJ$12&lt;&gt;0,$H82&gt;0,OR(AUTOEVENTO&lt;&gt;"manual",$M82&lt;&gt;1)),
IF(Import.TipoArredondamento&lt;&gt;"TransfereGOV",
ROUND(OFFSET($P82,0,AJ$13),15-13*ORÇAMENTO!$AF$7)/$H82*OFFSET(ORÇAMENTO!$X$15,ROW(AJ82)-ROW(AJ$15),0),
ROUND(ROUND(OFFSET($P82,0,AJ$13),15-13*ORÇAMENTO!$AF$7)*OFFSET(ORÇAMENTO!$W$15,ROW(AJ82)-ROW(AJ$15),0),15-13*ORÇAMENTO!$AF$11)),0)</f>
        <v>0</v>
      </c>
      <c r="AK82" s="546">
        <f ca="1">IF(AND($D82="Serviço",AK$12&lt;&gt;0,$H82&gt;0,OR(AUTOEVENTO&lt;&gt;"manual",$M82&lt;&gt;1)),
IF(Import.TipoArredondamento&lt;&gt;"TransfereGOV",
ROUND(OFFSET($P82,0,AK$13),15-13*ORÇAMENTO!$AF$7)/$H82*OFFSET(ORÇAMENTO!$X$15,ROW(AK82)-ROW(AK$15),0),
ROUND(ROUND(OFFSET($P82,0,AK$13),15-13*ORÇAMENTO!$AF$7)*OFFSET(ORÇAMENTO!$W$15,ROW(AK82)-ROW(AK$15),0),15-13*ORÇAMENTO!$AF$11)),0)</f>
        <v>0</v>
      </c>
      <c r="AM82" s="181">
        <f ca="1">IF($D82&lt;&gt;"Serviço",0,IF(AND(AUTOEVENTO="Manual",$M82=1),0,IF(OFFSET(CRONOPLE!$F$14,$M82,AM$13)="",10^12,OFFSET(CRONOPLE!$F$14,$M82,AM$13))))</f>
        <v>1000000000000</v>
      </c>
      <c r="AN82" s="181">
        <f ca="1">IF($D82&lt;&gt;"Serviço",0,IF(AND(AUTOEVENTO="Manual",$M82=1),0,IF(OFFSET(CRONOPLE!$F$14,$M82,AN$13)="",10^12,OFFSET(CRONOPLE!$F$14,$M82,AN$13))))</f>
        <v>1000000000000</v>
      </c>
      <c r="AO82" s="181">
        <f ca="1">IF($D82&lt;&gt;"Serviço",0,IF(AND(AUTOEVENTO="Manual",$M82=1),0,IF(OFFSET(CRONOPLE!$F$14,$M82,AO$13)="",10^12,OFFSET(CRONOPLE!$F$14,$M82,AO$13))))</f>
        <v>1000000000000</v>
      </c>
      <c r="AP82" s="181">
        <f ca="1">IF($D82&lt;&gt;"Serviço",0,IF(AND(AUTOEVENTO="Manual",$M82=1),0,IF(OFFSET(CRONOPLE!$F$14,$M82,AP$13)="",10^12,OFFSET(CRONOPLE!$F$14,$M82,AP$13))))</f>
        <v>1000000000000</v>
      </c>
      <c r="AQ82" s="181">
        <f ca="1">IF($D82&lt;&gt;"Serviço",0,IF(AND(AUTOEVENTO="Manual",$M82=1),0,IF(OFFSET(CRONOPLE!$F$14,$M82,AQ$13)="",10^12,OFFSET(CRONOPLE!$F$14,$M82,AQ$13))))</f>
        <v>1000000000000</v>
      </c>
      <c r="AR82" s="181">
        <f ca="1">IF($D82&lt;&gt;"Serviço",0,IF(AND(AUTOEVENTO="Manual",$M82=1),0,IF(OFFSET(CRONOPLE!$F$14,$M82,AR$13)="",10^12,OFFSET(CRONOPLE!$F$14,$M82,AR$13))))</f>
        <v>1000000000000</v>
      </c>
      <c r="AS82" s="181">
        <f ca="1">IF($D82&lt;&gt;"Serviço",0,IF(AND(AUTOEVENTO="Manual",$M82=1),0,IF(OFFSET(CRONOPLE!$F$14,$M82,AS$13)="",10^12,OFFSET(CRONOPLE!$F$14,$M82,AS$13))))</f>
        <v>1000000000000</v>
      </c>
      <c r="AT82" s="181">
        <f ca="1">IF($D82&lt;&gt;"Serviço",0,IF(AND(AUTOEVENTO="Manual",$M82=1),0,IF(OFFSET(CRONOPLE!$F$14,$M82,AT$13)="",10^12,OFFSET(CRONOPLE!$F$14,$M82,AT$13))))</f>
        <v>1000000000000</v>
      </c>
      <c r="AU82" s="181">
        <f ca="1">IF($D82&lt;&gt;"Serviço",0,IF(AND(AUTOEVENTO="Manual",$M82=1),0,IF(OFFSET(CRONOPLE!$F$14,$M82,AU$13)="",10^12,OFFSET(CRONOPLE!$F$14,$M82,AU$13))))</f>
        <v>1000000000000</v>
      </c>
      <c r="AV82" s="181">
        <f ca="1">IF($D82&lt;&gt;"Serviço",0,IF(AND(AUTOEVENTO="Manual",$M82=1),0,IF(OFFSET(CRONOPLE!$F$14,$M82,AV$13)="",10^12,OFFSET(CRONOPLE!$F$14,$M82,AV$13))))</f>
        <v>1000000000000</v>
      </c>
      <c r="AX82" s="182">
        <f ca="1">IF($D82&lt;&gt;"Serviço",0,IF(OR(AND(AUTOEVENTO="Manual",$M82=1),$M82&gt;(ROW(PLE.lastrow)-ROW(PLE.firstrow))),0,IF(OFFSET(PLE!$G$14,$M82,AX$13)="",10^12,OFFSET(PLE!$G$14,$M82,AX$13))))</f>
        <v>1000000000000</v>
      </c>
      <c r="AY82" s="182">
        <f ca="1">IF($D82&lt;&gt;"Serviço",0,IF(OR(AND(AUTOEVENTO="Manual",$M82=1),$M82&gt;(ROW(PLE.lastrow)-ROW(PLE.firstrow))),0,IF(OFFSET(PLE!$G$14,$M82,AY$13)="",10^12,OFFSET(PLE!$G$14,$M82,AY$13))))</f>
        <v>1000000000000</v>
      </c>
      <c r="AZ82" s="182">
        <f ca="1">IF($D82&lt;&gt;"Serviço",0,IF(OR(AND(AUTOEVENTO="Manual",$M82=1),$M82&gt;(ROW(PLE.lastrow)-ROW(PLE.firstrow))),0,IF(OFFSET(PLE!$G$14,$M82,AZ$13)="",10^12,OFFSET(PLE!$G$14,$M82,AZ$13))))</f>
        <v>1000000000000</v>
      </c>
      <c r="BA82" s="182">
        <f ca="1">IF($D82&lt;&gt;"Serviço",0,IF(OR(AND(AUTOEVENTO="Manual",$M82=1),$M82&gt;(ROW(PLE.lastrow)-ROW(PLE.firstrow))),0,IF(OFFSET(PLE!$G$14,$M82,BA$13)="",10^12,OFFSET(PLE!$G$14,$M82,BA$13))))</f>
        <v>1000000000000</v>
      </c>
      <c r="BB82" s="182">
        <f ca="1">IF($D82&lt;&gt;"Serviço",0,IF(OR(AND(AUTOEVENTO="Manual",$M82=1),$M82&gt;(ROW(PLE.lastrow)-ROW(PLE.firstrow))),0,IF(OFFSET(PLE!$G$14,$M82,BB$13)="",10^12,OFFSET(PLE!$G$14,$M82,BB$13))))</f>
        <v>1000000000000</v>
      </c>
      <c r="BC82" s="182">
        <f ca="1">IF($D82&lt;&gt;"Serviço",0,IF(OR(AND(AUTOEVENTO="Manual",$M82=1),$M82&gt;(ROW(PLE.lastrow)-ROW(PLE.firstrow))),0,IF(OFFSET(PLE!$G$14,$M82,BC$13)="",10^12,OFFSET(PLE!$G$14,$M82,BC$13))))</f>
        <v>1000000000000</v>
      </c>
      <c r="BD82" s="182">
        <f ca="1">IF($D82&lt;&gt;"Serviço",0,IF(OR(AND(AUTOEVENTO="Manual",$M82=1),$M82&gt;(ROW(PLE.lastrow)-ROW(PLE.firstrow))),0,IF(OFFSET(PLE!$G$14,$M82,BD$13)="",10^12,OFFSET(PLE!$G$14,$M82,BD$13))))</f>
        <v>1000000000000</v>
      </c>
      <c r="BE82" s="182">
        <f ca="1">IF($D82&lt;&gt;"Serviço",0,IF(OR(AND(AUTOEVENTO="Manual",$M82=1),$M82&gt;(ROW(PLE.lastrow)-ROW(PLE.firstrow))),0,IF(OFFSET(PLE!$G$14,$M82,BE$13)="",10^12,OFFSET(PLE!$G$14,$M82,BE$13))))</f>
        <v>1000000000000</v>
      </c>
      <c r="BF82" s="182">
        <f ca="1">IF($D82&lt;&gt;"Serviço",0,IF(OR(AND(AUTOEVENTO="Manual",$M82=1),$M82&gt;(ROW(PLE.lastrow)-ROW(PLE.firstrow))),0,IF(OFFSET(PLE!$G$14,$M82,BF$13)="",10^12,OFFSET(PLE!$G$14,$M82,BF$13))))</f>
        <v>1000000000000</v>
      </c>
      <c r="BG82" s="182">
        <f ca="1">IF($D82&lt;&gt;"Serviço",0,IF(OR(AND(AUTOEVENTO="Manual",$M82=1),$M82&gt;(ROW(PLE.lastrow)-ROW(PLE.firstrow))),0,IF(OFFSET(PLE!$G$14,$M82,BG$13)="",10^12,OFFSET(PLE!$G$14,$M82,BG$13))))</f>
        <v>1000000000000</v>
      </c>
    </row>
    <row r="83" spans="1:59" ht="25.5" x14ac:dyDescent="0.2">
      <c r="A83" s="7" t="str">
        <f t="shared" ca="1" si="11"/>
        <v>66</v>
      </c>
      <c r="B83" s="7" t="str">
        <f ca="1">OFFSET(ORÇAMENTO!C$15,ROW(B83)-ROW(B$15),0)</f>
        <v>S</v>
      </c>
      <c r="C83" s="7" t="str">
        <f ca="1">OFFSET(ORÇAMENTO!L$15,ROW(C83)-ROW(C$15),0)</f>
        <v>F</v>
      </c>
      <c r="D83" s="118" t="str">
        <f ca="1">OFFSET(ORÇAMENTO!N$15,ROW(D83)-ROW(D$15),0)</f>
        <v>Serviço</v>
      </c>
      <c r="E83" s="119" t="str">
        <f ca="1">OFFSET(ORÇAMENTO!O$15,ROW(E83)-ROW(E$15),0)</f>
        <v>6.1.2.</v>
      </c>
      <c r="F83" s="172" t="str">
        <f ca="1">OFFSET(ORÇAMENTO!R$15,ROW(F83)-ROW(F$15),0)</f>
        <v>POSTE DE CONCRETO PADRÃO CELESC</v>
      </c>
      <c r="G83" s="173" t="str">
        <f ca="1">IF($D83&lt;&gt;"Serviço","",OFFSET(ORÇAMENTO!S$15,ROW(G83)-ROW(G$15),0))</f>
        <v>UN</v>
      </c>
      <c r="H83" s="124">
        <f ca="1">IF($D83&lt;&gt;"Serviço",0,IF(ACOMPANHAMENTO="BM",ROUND(OFFSET(ORÇAMENTO!AJ$15,ROW(H83)-ROW(H$15),0),15-13*ORÇAMENTO!$AF$7),SUMPRODUCT(($Q$12:$AA$12&lt;&gt;"")*ROUND($Q83:$AA83,15-13*ORÇAMENTO!$AF$7))))</f>
        <v>1</v>
      </c>
      <c r="I83" s="561"/>
      <c r="K83" s="174"/>
      <c r="L83" s="175" t="s">
        <v>255</v>
      </c>
      <c r="M83" s="176">
        <f ca="1">IF($D83&lt;&gt;"Serviço","",IF(AUTOEVENTO="manual",$A83,IF(ISERROR(MATCH($A83,$A$15:OFFSET($A83,-1,0),0)),MAX($M$15:OFFSET(M83,-1,0))+1,INDEX($M$15:OFFSET(M83,-1,0),MATCH($A83,$A$15:OFFSET($A83,-1,0),0)))))</f>
        <v>14</v>
      </c>
      <c r="N83" s="177" t="str">
        <f ca="1">IF($D83&lt;&gt;"Serviço","",IF(AUTOEVENTO="Manual",IF($A83=0,"&lt;-- defina o número do agrupador",OFFSET(EVENTOS!$D$14,$A83,0)),OFFSET($F$15,$A83,0)))</f>
        <v>RAMAL DE ENTRADA DE ENERGIA</v>
      </c>
      <c r="O83" s="178"/>
      <c r="Q83" s="178"/>
      <c r="R83" s="179"/>
      <c r="S83" s="179"/>
      <c r="T83" s="179"/>
      <c r="U83" s="179"/>
      <c r="V83" s="179"/>
      <c r="W83" s="179"/>
      <c r="X83" s="179"/>
      <c r="Y83" s="179"/>
      <c r="Z83" s="180"/>
      <c r="AB83" s="544">
        <f ca="1">IF(AND($D83="Serviço",AB$12&lt;&gt;0,$H83&gt;0,OR(AUTOEVENTO&lt;&gt;"manual",$M83&lt;&gt;1)),
IF(Import.TipoArredondamento&lt;&gt;"TransfereGOV",
ROUND(OFFSET($P83,0,AB$13),15-13*ORÇAMENTO!$AF$7)/$H83*OFFSET(ORÇAMENTO!$X$15,ROW(AB83)-ROW(AB$15),0),
ROUND(ROUND(OFFSET($P83,0,AB$13),15-13*ORÇAMENTO!$AF$7)*OFFSET(ORÇAMENTO!$W$15,ROW(AB83)-ROW(AB$15),0),15-13*ORÇAMENTO!$AF$11)),0)</f>
        <v>0</v>
      </c>
      <c r="AC83" s="545">
        <f ca="1">IF(AND($D83="Serviço",AC$12&lt;&gt;0,$H83&gt;0,OR(AUTOEVENTO&lt;&gt;"manual",$M83&lt;&gt;1)),
IF(Import.TipoArredondamento&lt;&gt;"TransfereGOV",
ROUND(OFFSET($P83,0,AC$13),15-13*ORÇAMENTO!$AF$7)/$H83*OFFSET(ORÇAMENTO!$X$15,ROW(AC83)-ROW(AC$15),0),
ROUND(ROUND(OFFSET($P83,0,AC$13),15-13*ORÇAMENTO!$AF$7)*OFFSET(ORÇAMENTO!$W$15,ROW(AC83)-ROW(AC$15),0),15-13*ORÇAMENTO!$AF$11)),0)</f>
        <v>0</v>
      </c>
      <c r="AD83" s="545">
        <f ca="1">IF(AND($D83="Serviço",AD$12&lt;&gt;0,$H83&gt;0,OR(AUTOEVENTO&lt;&gt;"manual",$M83&lt;&gt;1)),
IF(Import.TipoArredondamento&lt;&gt;"TransfereGOV",
ROUND(OFFSET($P83,0,AD$13),15-13*ORÇAMENTO!$AF$7)/$H83*OFFSET(ORÇAMENTO!$X$15,ROW(AD83)-ROW(AD$15),0),
ROUND(ROUND(OFFSET($P83,0,AD$13),15-13*ORÇAMENTO!$AF$7)*OFFSET(ORÇAMENTO!$W$15,ROW(AD83)-ROW(AD$15),0),15-13*ORÇAMENTO!$AF$11)),0)</f>
        <v>0</v>
      </c>
      <c r="AE83" s="545">
        <f ca="1">IF(AND($D83="Serviço",AE$12&lt;&gt;0,$H83&gt;0,OR(AUTOEVENTO&lt;&gt;"manual",$M83&lt;&gt;1)),
IF(Import.TipoArredondamento&lt;&gt;"TransfereGOV",
ROUND(OFFSET($P83,0,AE$13),15-13*ORÇAMENTO!$AF$7)/$H83*OFFSET(ORÇAMENTO!$X$15,ROW(AE83)-ROW(AE$15),0),
ROUND(ROUND(OFFSET($P83,0,AE$13),15-13*ORÇAMENTO!$AF$7)*OFFSET(ORÇAMENTO!$W$15,ROW(AE83)-ROW(AE$15),0),15-13*ORÇAMENTO!$AF$11)),0)</f>
        <v>0</v>
      </c>
      <c r="AF83" s="545">
        <f ca="1">IF(AND($D83="Serviço",AF$12&lt;&gt;0,$H83&gt;0,OR(AUTOEVENTO&lt;&gt;"manual",$M83&lt;&gt;1)),
IF(Import.TipoArredondamento&lt;&gt;"TransfereGOV",
ROUND(OFFSET($P83,0,AF$13),15-13*ORÇAMENTO!$AF$7)/$H83*OFFSET(ORÇAMENTO!$X$15,ROW(AF83)-ROW(AF$15),0),
ROUND(ROUND(OFFSET($P83,0,AF$13),15-13*ORÇAMENTO!$AF$7)*OFFSET(ORÇAMENTO!$W$15,ROW(AF83)-ROW(AF$15),0),15-13*ORÇAMENTO!$AF$11)),0)</f>
        <v>0</v>
      </c>
      <c r="AG83" s="545">
        <f ca="1">IF(AND($D83="Serviço",AG$12&lt;&gt;0,$H83&gt;0,OR(AUTOEVENTO&lt;&gt;"manual",$M83&lt;&gt;1)),
IF(Import.TipoArredondamento&lt;&gt;"TransfereGOV",
ROUND(OFFSET($P83,0,AG$13),15-13*ORÇAMENTO!$AF$7)/$H83*OFFSET(ORÇAMENTO!$X$15,ROW(AG83)-ROW(AG$15),0),
ROUND(ROUND(OFFSET($P83,0,AG$13),15-13*ORÇAMENTO!$AF$7)*OFFSET(ORÇAMENTO!$W$15,ROW(AG83)-ROW(AG$15),0),15-13*ORÇAMENTO!$AF$11)),0)</f>
        <v>0</v>
      </c>
      <c r="AH83" s="545">
        <f ca="1">IF(AND($D83="Serviço",AH$12&lt;&gt;0,$H83&gt;0,OR(AUTOEVENTO&lt;&gt;"manual",$M83&lt;&gt;1)),
IF(Import.TipoArredondamento&lt;&gt;"TransfereGOV",
ROUND(OFFSET($P83,0,AH$13),15-13*ORÇAMENTO!$AF$7)/$H83*OFFSET(ORÇAMENTO!$X$15,ROW(AH83)-ROW(AH$15),0),
ROUND(ROUND(OFFSET($P83,0,AH$13),15-13*ORÇAMENTO!$AF$7)*OFFSET(ORÇAMENTO!$W$15,ROW(AH83)-ROW(AH$15),0),15-13*ORÇAMENTO!$AF$11)),0)</f>
        <v>0</v>
      </c>
      <c r="AI83" s="545">
        <f ca="1">IF(AND($D83="Serviço",AI$12&lt;&gt;0,$H83&gt;0,OR(AUTOEVENTO&lt;&gt;"manual",$M83&lt;&gt;1)),
IF(Import.TipoArredondamento&lt;&gt;"TransfereGOV",
ROUND(OFFSET($P83,0,AI$13),15-13*ORÇAMENTO!$AF$7)/$H83*OFFSET(ORÇAMENTO!$X$15,ROW(AI83)-ROW(AI$15),0),
ROUND(ROUND(OFFSET($P83,0,AI$13),15-13*ORÇAMENTO!$AF$7)*OFFSET(ORÇAMENTO!$W$15,ROW(AI83)-ROW(AI$15),0),15-13*ORÇAMENTO!$AF$11)),0)</f>
        <v>0</v>
      </c>
      <c r="AJ83" s="545">
        <f ca="1">IF(AND($D83="Serviço",AJ$12&lt;&gt;0,$H83&gt;0,OR(AUTOEVENTO&lt;&gt;"manual",$M83&lt;&gt;1)),
IF(Import.TipoArredondamento&lt;&gt;"TransfereGOV",
ROUND(OFFSET($P83,0,AJ$13),15-13*ORÇAMENTO!$AF$7)/$H83*OFFSET(ORÇAMENTO!$X$15,ROW(AJ83)-ROW(AJ$15),0),
ROUND(ROUND(OFFSET($P83,0,AJ$13),15-13*ORÇAMENTO!$AF$7)*OFFSET(ORÇAMENTO!$W$15,ROW(AJ83)-ROW(AJ$15),0),15-13*ORÇAMENTO!$AF$11)),0)</f>
        <v>0</v>
      </c>
      <c r="AK83" s="546">
        <f ca="1">IF(AND($D83="Serviço",AK$12&lt;&gt;0,$H83&gt;0,OR(AUTOEVENTO&lt;&gt;"manual",$M83&lt;&gt;1)),
IF(Import.TipoArredondamento&lt;&gt;"TransfereGOV",
ROUND(OFFSET($P83,0,AK$13),15-13*ORÇAMENTO!$AF$7)/$H83*OFFSET(ORÇAMENTO!$X$15,ROW(AK83)-ROW(AK$15),0),
ROUND(ROUND(OFFSET($P83,0,AK$13),15-13*ORÇAMENTO!$AF$7)*OFFSET(ORÇAMENTO!$W$15,ROW(AK83)-ROW(AK$15),0),15-13*ORÇAMENTO!$AF$11)),0)</f>
        <v>0</v>
      </c>
      <c r="AM83" s="181">
        <f ca="1">IF($D83&lt;&gt;"Serviço",0,IF(AND(AUTOEVENTO="Manual",$M83=1),0,IF(OFFSET(CRONOPLE!$F$14,$M83,AM$13)="",10^12,OFFSET(CRONOPLE!$F$14,$M83,AM$13))))</f>
        <v>1000000000000</v>
      </c>
      <c r="AN83" s="181">
        <f ca="1">IF($D83&lt;&gt;"Serviço",0,IF(AND(AUTOEVENTO="Manual",$M83=1),0,IF(OFFSET(CRONOPLE!$F$14,$M83,AN$13)="",10^12,OFFSET(CRONOPLE!$F$14,$M83,AN$13))))</f>
        <v>1000000000000</v>
      </c>
      <c r="AO83" s="181">
        <f ca="1">IF($D83&lt;&gt;"Serviço",0,IF(AND(AUTOEVENTO="Manual",$M83=1),0,IF(OFFSET(CRONOPLE!$F$14,$M83,AO$13)="",10^12,OFFSET(CRONOPLE!$F$14,$M83,AO$13))))</f>
        <v>1000000000000</v>
      </c>
      <c r="AP83" s="181">
        <f ca="1">IF($D83&lt;&gt;"Serviço",0,IF(AND(AUTOEVENTO="Manual",$M83=1),0,IF(OFFSET(CRONOPLE!$F$14,$M83,AP$13)="",10^12,OFFSET(CRONOPLE!$F$14,$M83,AP$13))))</f>
        <v>1000000000000</v>
      </c>
      <c r="AQ83" s="181">
        <f ca="1">IF($D83&lt;&gt;"Serviço",0,IF(AND(AUTOEVENTO="Manual",$M83=1),0,IF(OFFSET(CRONOPLE!$F$14,$M83,AQ$13)="",10^12,OFFSET(CRONOPLE!$F$14,$M83,AQ$13))))</f>
        <v>1000000000000</v>
      </c>
      <c r="AR83" s="181">
        <f ca="1">IF($D83&lt;&gt;"Serviço",0,IF(AND(AUTOEVENTO="Manual",$M83=1),0,IF(OFFSET(CRONOPLE!$F$14,$M83,AR$13)="",10^12,OFFSET(CRONOPLE!$F$14,$M83,AR$13))))</f>
        <v>1000000000000</v>
      </c>
      <c r="AS83" s="181">
        <f ca="1">IF($D83&lt;&gt;"Serviço",0,IF(AND(AUTOEVENTO="Manual",$M83=1),0,IF(OFFSET(CRONOPLE!$F$14,$M83,AS$13)="",10^12,OFFSET(CRONOPLE!$F$14,$M83,AS$13))))</f>
        <v>1000000000000</v>
      </c>
      <c r="AT83" s="181">
        <f ca="1">IF($D83&lt;&gt;"Serviço",0,IF(AND(AUTOEVENTO="Manual",$M83=1),0,IF(OFFSET(CRONOPLE!$F$14,$M83,AT$13)="",10^12,OFFSET(CRONOPLE!$F$14,$M83,AT$13))))</f>
        <v>1000000000000</v>
      </c>
      <c r="AU83" s="181">
        <f ca="1">IF($D83&lt;&gt;"Serviço",0,IF(AND(AUTOEVENTO="Manual",$M83=1),0,IF(OFFSET(CRONOPLE!$F$14,$M83,AU$13)="",10^12,OFFSET(CRONOPLE!$F$14,$M83,AU$13))))</f>
        <v>1000000000000</v>
      </c>
      <c r="AV83" s="181">
        <f ca="1">IF($D83&lt;&gt;"Serviço",0,IF(AND(AUTOEVENTO="Manual",$M83=1),0,IF(OFFSET(CRONOPLE!$F$14,$M83,AV$13)="",10^12,OFFSET(CRONOPLE!$F$14,$M83,AV$13))))</f>
        <v>1000000000000</v>
      </c>
      <c r="AX83" s="182">
        <f ca="1">IF($D83&lt;&gt;"Serviço",0,IF(OR(AND(AUTOEVENTO="Manual",$M83=1),$M83&gt;(ROW(PLE.lastrow)-ROW(PLE.firstrow))),0,IF(OFFSET(PLE!$G$14,$M83,AX$13)="",10^12,OFFSET(PLE!$G$14,$M83,AX$13))))</f>
        <v>1000000000000</v>
      </c>
      <c r="AY83" s="182">
        <f ca="1">IF($D83&lt;&gt;"Serviço",0,IF(OR(AND(AUTOEVENTO="Manual",$M83=1),$M83&gt;(ROW(PLE.lastrow)-ROW(PLE.firstrow))),0,IF(OFFSET(PLE!$G$14,$M83,AY$13)="",10^12,OFFSET(PLE!$G$14,$M83,AY$13))))</f>
        <v>1000000000000</v>
      </c>
      <c r="AZ83" s="182">
        <f ca="1">IF($D83&lt;&gt;"Serviço",0,IF(OR(AND(AUTOEVENTO="Manual",$M83=1),$M83&gt;(ROW(PLE.lastrow)-ROW(PLE.firstrow))),0,IF(OFFSET(PLE!$G$14,$M83,AZ$13)="",10^12,OFFSET(PLE!$G$14,$M83,AZ$13))))</f>
        <v>1000000000000</v>
      </c>
      <c r="BA83" s="182">
        <f ca="1">IF($D83&lt;&gt;"Serviço",0,IF(OR(AND(AUTOEVENTO="Manual",$M83=1),$M83&gt;(ROW(PLE.lastrow)-ROW(PLE.firstrow))),0,IF(OFFSET(PLE!$G$14,$M83,BA$13)="",10^12,OFFSET(PLE!$G$14,$M83,BA$13))))</f>
        <v>1000000000000</v>
      </c>
      <c r="BB83" s="182">
        <f ca="1">IF($D83&lt;&gt;"Serviço",0,IF(OR(AND(AUTOEVENTO="Manual",$M83=1),$M83&gt;(ROW(PLE.lastrow)-ROW(PLE.firstrow))),0,IF(OFFSET(PLE!$G$14,$M83,BB$13)="",10^12,OFFSET(PLE!$G$14,$M83,BB$13))))</f>
        <v>1000000000000</v>
      </c>
      <c r="BC83" s="182">
        <f ca="1">IF($D83&lt;&gt;"Serviço",0,IF(OR(AND(AUTOEVENTO="Manual",$M83=1),$M83&gt;(ROW(PLE.lastrow)-ROW(PLE.firstrow))),0,IF(OFFSET(PLE!$G$14,$M83,BC$13)="",10^12,OFFSET(PLE!$G$14,$M83,BC$13))))</f>
        <v>1000000000000</v>
      </c>
      <c r="BD83" s="182">
        <f ca="1">IF($D83&lt;&gt;"Serviço",0,IF(OR(AND(AUTOEVENTO="Manual",$M83=1),$M83&gt;(ROW(PLE.lastrow)-ROW(PLE.firstrow))),0,IF(OFFSET(PLE!$G$14,$M83,BD$13)="",10^12,OFFSET(PLE!$G$14,$M83,BD$13))))</f>
        <v>1000000000000</v>
      </c>
      <c r="BE83" s="182">
        <f ca="1">IF($D83&lt;&gt;"Serviço",0,IF(OR(AND(AUTOEVENTO="Manual",$M83=1),$M83&gt;(ROW(PLE.lastrow)-ROW(PLE.firstrow))),0,IF(OFFSET(PLE!$G$14,$M83,BE$13)="",10^12,OFFSET(PLE!$G$14,$M83,BE$13))))</f>
        <v>1000000000000</v>
      </c>
      <c r="BF83" s="182">
        <f ca="1">IF($D83&lt;&gt;"Serviço",0,IF(OR(AND(AUTOEVENTO="Manual",$M83=1),$M83&gt;(ROW(PLE.lastrow)-ROW(PLE.firstrow))),0,IF(OFFSET(PLE!$G$14,$M83,BF$13)="",10^12,OFFSET(PLE!$G$14,$M83,BF$13))))</f>
        <v>1000000000000</v>
      </c>
      <c r="BG83" s="182">
        <f ca="1">IF($D83&lt;&gt;"Serviço",0,IF(OR(AND(AUTOEVENTO="Manual",$M83=1),$M83&gt;(ROW(PLE.lastrow)-ROW(PLE.firstrow))),0,IF(OFFSET(PLE!$G$14,$M83,BG$13)="",10^12,OFFSET(PLE!$G$14,$M83,BG$13))))</f>
        <v>1000000000000</v>
      </c>
    </row>
    <row r="84" spans="1:59" ht="12.75" x14ac:dyDescent="0.2">
      <c r="A84" s="7" t="str">
        <f t="shared" ca="1" si="8"/>
        <v>69.</v>
      </c>
      <c r="B84" s="7">
        <f ca="1">OFFSET(ORÇAMENTO!C$15,ROW(B84)-ROW(B$15),0)</f>
        <v>2</v>
      </c>
      <c r="C84" s="7" t="str">
        <f ca="1">OFFSET(ORÇAMENTO!L$15,ROW(C84)-ROW(C$15),0)</f>
        <v>F</v>
      </c>
      <c r="D84" s="118" t="str">
        <f ca="1">OFFSET(ORÇAMENTO!N$15,ROW(D84)-ROW(D$15),0)</f>
        <v>Nível 2</v>
      </c>
      <c r="E84" s="119" t="str">
        <f ca="1">OFFSET(ORÇAMENTO!O$15,ROW(E84)-ROW(E$15),0)</f>
        <v>6.2.</v>
      </c>
      <c r="F84" s="172" t="str">
        <f ca="1">OFFSET(ORÇAMENTO!R$15,ROW(F84)-ROW(F$15),0)</f>
        <v>INSTALAÇÕES ELÉTRICAS</v>
      </c>
      <c r="G84" s="173" t="str">
        <f ca="1">IF($D84&lt;&gt;"Serviço","",OFFSET(ORÇAMENTO!S$15,ROW(G84)-ROW(G$15),0))</f>
        <v/>
      </c>
      <c r="H84" s="124">
        <f ca="1">IF($D84&lt;&gt;"Serviço",0,IF(ACOMPANHAMENTO="BM",ROUND(OFFSET(ORÇAMENTO!AJ$15,ROW(H84)-ROW(H$15),0),15-13*ORÇAMENTO!$AF$7),SUMPRODUCT(($Q$12:$AA$12&lt;&gt;"")*ROUND($Q84:$AA84,15-13*ORÇAMENTO!$AF$7))))</f>
        <v>0</v>
      </c>
      <c r="I84" s="561"/>
      <c r="K84" s="174"/>
      <c r="L84" s="175" t="s">
        <v>255</v>
      </c>
      <c r="M84" s="176" t="str">
        <f ca="1">IF($D84&lt;&gt;"Serviço","",IF(AUTOEVENTO="manual",$A84,IF(ISERROR(MATCH($A84,$A$15:OFFSET($A84,-1,0),0)),MAX($M$15:OFFSET(M84,-1,0))+1,INDEX($M$15:OFFSET(M84,-1,0),MATCH($A84,$A$15:OFFSET($A84,-1,0),0)))))</f>
        <v/>
      </c>
      <c r="N84" s="177" t="str">
        <f ca="1">IF($D84&lt;&gt;"Serviço","",IF(AUTOEVENTO="Manual",IF($A84=0,"&lt;-- defina o número do agrupador",OFFSET(EVENTOS!$D$14,$A84,0)),OFFSET($F$15,$A84,0)))</f>
        <v/>
      </c>
      <c r="O84" s="178"/>
      <c r="Q84" s="178"/>
      <c r="R84" s="179"/>
      <c r="S84" s="179"/>
      <c r="T84" s="179"/>
      <c r="U84" s="179"/>
      <c r="V84" s="179"/>
      <c r="W84" s="179"/>
      <c r="X84" s="179"/>
      <c r="Y84" s="179"/>
      <c r="Z84" s="180"/>
      <c r="AB84" s="544">
        <f ca="1">IF(AND($D84="Serviço",AB$12&lt;&gt;0,$H84&gt;0,OR(AUTOEVENTO&lt;&gt;"manual",$M84&lt;&gt;1)),
IF(Import.TipoArredondamento&lt;&gt;"TransfereGOV",
ROUND(OFFSET($P84,0,AB$13),15-13*ORÇAMENTO!$AF$7)/$H84*OFFSET(ORÇAMENTO!$X$15,ROW(AB84)-ROW(AB$15),0),
ROUND(ROUND(OFFSET($P84,0,AB$13),15-13*ORÇAMENTO!$AF$7)*OFFSET(ORÇAMENTO!$W$15,ROW(AB84)-ROW(AB$15),0),15-13*ORÇAMENTO!$AF$11)),0)</f>
        <v>0</v>
      </c>
      <c r="AC84" s="545">
        <f ca="1">IF(AND($D84="Serviço",AC$12&lt;&gt;0,$H84&gt;0,OR(AUTOEVENTO&lt;&gt;"manual",$M84&lt;&gt;1)),
IF(Import.TipoArredondamento&lt;&gt;"TransfereGOV",
ROUND(OFFSET($P84,0,AC$13),15-13*ORÇAMENTO!$AF$7)/$H84*OFFSET(ORÇAMENTO!$X$15,ROW(AC84)-ROW(AC$15),0),
ROUND(ROUND(OFFSET($P84,0,AC$13),15-13*ORÇAMENTO!$AF$7)*OFFSET(ORÇAMENTO!$W$15,ROW(AC84)-ROW(AC$15),0),15-13*ORÇAMENTO!$AF$11)),0)</f>
        <v>0</v>
      </c>
      <c r="AD84" s="545">
        <f ca="1">IF(AND($D84="Serviço",AD$12&lt;&gt;0,$H84&gt;0,OR(AUTOEVENTO&lt;&gt;"manual",$M84&lt;&gt;1)),
IF(Import.TipoArredondamento&lt;&gt;"TransfereGOV",
ROUND(OFFSET($P84,0,AD$13),15-13*ORÇAMENTO!$AF$7)/$H84*OFFSET(ORÇAMENTO!$X$15,ROW(AD84)-ROW(AD$15),0),
ROUND(ROUND(OFFSET($P84,0,AD$13),15-13*ORÇAMENTO!$AF$7)*OFFSET(ORÇAMENTO!$W$15,ROW(AD84)-ROW(AD$15),0),15-13*ORÇAMENTO!$AF$11)),0)</f>
        <v>0</v>
      </c>
      <c r="AE84" s="545">
        <f ca="1">IF(AND($D84="Serviço",AE$12&lt;&gt;0,$H84&gt;0,OR(AUTOEVENTO&lt;&gt;"manual",$M84&lt;&gt;1)),
IF(Import.TipoArredondamento&lt;&gt;"TransfereGOV",
ROUND(OFFSET($P84,0,AE$13),15-13*ORÇAMENTO!$AF$7)/$H84*OFFSET(ORÇAMENTO!$X$15,ROW(AE84)-ROW(AE$15),0),
ROUND(ROUND(OFFSET($P84,0,AE$13),15-13*ORÇAMENTO!$AF$7)*OFFSET(ORÇAMENTO!$W$15,ROW(AE84)-ROW(AE$15),0),15-13*ORÇAMENTO!$AF$11)),0)</f>
        <v>0</v>
      </c>
      <c r="AF84" s="545">
        <f ca="1">IF(AND($D84="Serviço",AF$12&lt;&gt;0,$H84&gt;0,OR(AUTOEVENTO&lt;&gt;"manual",$M84&lt;&gt;1)),
IF(Import.TipoArredondamento&lt;&gt;"TransfereGOV",
ROUND(OFFSET($P84,0,AF$13),15-13*ORÇAMENTO!$AF$7)/$H84*OFFSET(ORÇAMENTO!$X$15,ROW(AF84)-ROW(AF$15),0),
ROUND(ROUND(OFFSET($P84,0,AF$13),15-13*ORÇAMENTO!$AF$7)*OFFSET(ORÇAMENTO!$W$15,ROW(AF84)-ROW(AF$15),0),15-13*ORÇAMENTO!$AF$11)),0)</f>
        <v>0</v>
      </c>
      <c r="AG84" s="545">
        <f ca="1">IF(AND($D84="Serviço",AG$12&lt;&gt;0,$H84&gt;0,OR(AUTOEVENTO&lt;&gt;"manual",$M84&lt;&gt;1)),
IF(Import.TipoArredondamento&lt;&gt;"TransfereGOV",
ROUND(OFFSET($P84,0,AG$13),15-13*ORÇAMENTO!$AF$7)/$H84*OFFSET(ORÇAMENTO!$X$15,ROW(AG84)-ROW(AG$15),0),
ROUND(ROUND(OFFSET($P84,0,AG$13),15-13*ORÇAMENTO!$AF$7)*OFFSET(ORÇAMENTO!$W$15,ROW(AG84)-ROW(AG$15),0),15-13*ORÇAMENTO!$AF$11)),0)</f>
        <v>0</v>
      </c>
      <c r="AH84" s="545">
        <f ca="1">IF(AND($D84="Serviço",AH$12&lt;&gt;0,$H84&gt;0,OR(AUTOEVENTO&lt;&gt;"manual",$M84&lt;&gt;1)),
IF(Import.TipoArredondamento&lt;&gt;"TransfereGOV",
ROUND(OFFSET($P84,0,AH$13),15-13*ORÇAMENTO!$AF$7)/$H84*OFFSET(ORÇAMENTO!$X$15,ROW(AH84)-ROW(AH$15),0),
ROUND(ROUND(OFFSET($P84,0,AH$13),15-13*ORÇAMENTO!$AF$7)*OFFSET(ORÇAMENTO!$W$15,ROW(AH84)-ROW(AH$15),0),15-13*ORÇAMENTO!$AF$11)),0)</f>
        <v>0</v>
      </c>
      <c r="AI84" s="545">
        <f ca="1">IF(AND($D84="Serviço",AI$12&lt;&gt;0,$H84&gt;0,OR(AUTOEVENTO&lt;&gt;"manual",$M84&lt;&gt;1)),
IF(Import.TipoArredondamento&lt;&gt;"TransfereGOV",
ROUND(OFFSET($P84,0,AI$13),15-13*ORÇAMENTO!$AF$7)/$H84*OFFSET(ORÇAMENTO!$X$15,ROW(AI84)-ROW(AI$15),0),
ROUND(ROUND(OFFSET($P84,0,AI$13),15-13*ORÇAMENTO!$AF$7)*OFFSET(ORÇAMENTO!$W$15,ROW(AI84)-ROW(AI$15),0),15-13*ORÇAMENTO!$AF$11)),0)</f>
        <v>0</v>
      </c>
      <c r="AJ84" s="545">
        <f ca="1">IF(AND($D84="Serviço",AJ$12&lt;&gt;0,$H84&gt;0,OR(AUTOEVENTO&lt;&gt;"manual",$M84&lt;&gt;1)),
IF(Import.TipoArredondamento&lt;&gt;"TransfereGOV",
ROUND(OFFSET($P84,0,AJ$13),15-13*ORÇAMENTO!$AF$7)/$H84*OFFSET(ORÇAMENTO!$X$15,ROW(AJ84)-ROW(AJ$15),0),
ROUND(ROUND(OFFSET($P84,0,AJ$13),15-13*ORÇAMENTO!$AF$7)*OFFSET(ORÇAMENTO!$W$15,ROW(AJ84)-ROW(AJ$15),0),15-13*ORÇAMENTO!$AF$11)),0)</f>
        <v>0</v>
      </c>
      <c r="AK84" s="546">
        <f ca="1">IF(AND($D84="Serviço",AK$12&lt;&gt;0,$H84&gt;0,OR(AUTOEVENTO&lt;&gt;"manual",$M84&lt;&gt;1)),
IF(Import.TipoArredondamento&lt;&gt;"TransfereGOV",
ROUND(OFFSET($P84,0,AK$13),15-13*ORÇAMENTO!$AF$7)/$H84*OFFSET(ORÇAMENTO!$X$15,ROW(AK84)-ROW(AK$15),0),
ROUND(ROUND(OFFSET($P84,0,AK$13),15-13*ORÇAMENTO!$AF$7)*OFFSET(ORÇAMENTO!$W$15,ROW(AK84)-ROW(AK$15),0),15-13*ORÇAMENTO!$AF$11)),0)</f>
        <v>0</v>
      </c>
      <c r="AM84" s="181">
        <f ca="1">IF($D84&lt;&gt;"Serviço",0,IF(AND(AUTOEVENTO="Manual",$M84=1),0,IF(OFFSET(CRONOPLE!$F$14,$M84,AM$13)="",10^12,OFFSET(CRONOPLE!$F$14,$M84,AM$13))))</f>
        <v>0</v>
      </c>
      <c r="AN84" s="181">
        <f ca="1">IF($D84&lt;&gt;"Serviço",0,IF(AND(AUTOEVENTO="Manual",$M84=1),0,IF(OFFSET(CRONOPLE!$F$14,$M84,AN$13)="",10^12,OFFSET(CRONOPLE!$F$14,$M84,AN$13))))</f>
        <v>0</v>
      </c>
      <c r="AO84" s="181">
        <f ca="1">IF($D84&lt;&gt;"Serviço",0,IF(AND(AUTOEVENTO="Manual",$M84=1),0,IF(OFFSET(CRONOPLE!$F$14,$M84,AO$13)="",10^12,OFFSET(CRONOPLE!$F$14,$M84,AO$13))))</f>
        <v>0</v>
      </c>
      <c r="AP84" s="181">
        <f ca="1">IF($D84&lt;&gt;"Serviço",0,IF(AND(AUTOEVENTO="Manual",$M84=1),0,IF(OFFSET(CRONOPLE!$F$14,$M84,AP$13)="",10^12,OFFSET(CRONOPLE!$F$14,$M84,AP$13))))</f>
        <v>0</v>
      </c>
      <c r="AQ84" s="181">
        <f ca="1">IF($D84&lt;&gt;"Serviço",0,IF(AND(AUTOEVENTO="Manual",$M84=1),0,IF(OFFSET(CRONOPLE!$F$14,$M84,AQ$13)="",10^12,OFFSET(CRONOPLE!$F$14,$M84,AQ$13))))</f>
        <v>0</v>
      </c>
      <c r="AR84" s="181">
        <f ca="1">IF($D84&lt;&gt;"Serviço",0,IF(AND(AUTOEVENTO="Manual",$M84=1),0,IF(OFFSET(CRONOPLE!$F$14,$M84,AR$13)="",10^12,OFFSET(CRONOPLE!$F$14,$M84,AR$13))))</f>
        <v>0</v>
      </c>
      <c r="AS84" s="181">
        <f ca="1">IF($D84&lt;&gt;"Serviço",0,IF(AND(AUTOEVENTO="Manual",$M84=1),0,IF(OFFSET(CRONOPLE!$F$14,$M84,AS$13)="",10^12,OFFSET(CRONOPLE!$F$14,$M84,AS$13))))</f>
        <v>0</v>
      </c>
      <c r="AT84" s="181">
        <f ca="1">IF($D84&lt;&gt;"Serviço",0,IF(AND(AUTOEVENTO="Manual",$M84=1),0,IF(OFFSET(CRONOPLE!$F$14,$M84,AT$13)="",10^12,OFFSET(CRONOPLE!$F$14,$M84,AT$13))))</f>
        <v>0</v>
      </c>
      <c r="AU84" s="181">
        <f ca="1">IF($D84&lt;&gt;"Serviço",0,IF(AND(AUTOEVENTO="Manual",$M84=1),0,IF(OFFSET(CRONOPLE!$F$14,$M84,AU$13)="",10^12,OFFSET(CRONOPLE!$F$14,$M84,AU$13))))</f>
        <v>0</v>
      </c>
      <c r="AV84" s="181">
        <f ca="1">IF($D84&lt;&gt;"Serviço",0,IF(AND(AUTOEVENTO="Manual",$M84=1),0,IF(OFFSET(CRONOPLE!$F$14,$M84,AV$13)="",10^12,OFFSET(CRONOPLE!$F$14,$M84,AV$13))))</f>
        <v>0</v>
      </c>
      <c r="AX84" s="182">
        <f ca="1">IF($D84&lt;&gt;"Serviço",0,IF(OR(AND(AUTOEVENTO="Manual",$M84=1),$M84&gt;(ROW(PLE.lastrow)-ROW(PLE.firstrow))),0,IF(OFFSET(PLE!$G$14,$M84,AX$13)="",10^12,OFFSET(PLE!$G$14,$M84,AX$13))))</f>
        <v>0</v>
      </c>
      <c r="AY84" s="182">
        <f ca="1">IF($D84&lt;&gt;"Serviço",0,IF(OR(AND(AUTOEVENTO="Manual",$M84=1),$M84&gt;(ROW(PLE.lastrow)-ROW(PLE.firstrow))),0,IF(OFFSET(PLE!$G$14,$M84,AY$13)="",10^12,OFFSET(PLE!$G$14,$M84,AY$13))))</f>
        <v>0</v>
      </c>
      <c r="AZ84" s="182">
        <f ca="1">IF($D84&lt;&gt;"Serviço",0,IF(OR(AND(AUTOEVENTO="Manual",$M84=1),$M84&gt;(ROW(PLE.lastrow)-ROW(PLE.firstrow))),0,IF(OFFSET(PLE!$G$14,$M84,AZ$13)="",10^12,OFFSET(PLE!$G$14,$M84,AZ$13))))</f>
        <v>0</v>
      </c>
      <c r="BA84" s="182">
        <f ca="1">IF($D84&lt;&gt;"Serviço",0,IF(OR(AND(AUTOEVENTO="Manual",$M84=1),$M84&gt;(ROW(PLE.lastrow)-ROW(PLE.firstrow))),0,IF(OFFSET(PLE!$G$14,$M84,BA$13)="",10^12,OFFSET(PLE!$G$14,$M84,BA$13))))</f>
        <v>0</v>
      </c>
      <c r="BB84" s="182">
        <f ca="1">IF($D84&lt;&gt;"Serviço",0,IF(OR(AND(AUTOEVENTO="Manual",$M84=1),$M84&gt;(ROW(PLE.lastrow)-ROW(PLE.firstrow))),0,IF(OFFSET(PLE!$G$14,$M84,BB$13)="",10^12,OFFSET(PLE!$G$14,$M84,BB$13))))</f>
        <v>0</v>
      </c>
      <c r="BC84" s="182">
        <f ca="1">IF($D84&lt;&gt;"Serviço",0,IF(OR(AND(AUTOEVENTO="Manual",$M84=1),$M84&gt;(ROW(PLE.lastrow)-ROW(PLE.firstrow))),0,IF(OFFSET(PLE!$G$14,$M84,BC$13)="",10^12,OFFSET(PLE!$G$14,$M84,BC$13))))</f>
        <v>0</v>
      </c>
      <c r="BD84" s="182">
        <f ca="1">IF($D84&lt;&gt;"Serviço",0,IF(OR(AND(AUTOEVENTO="Manual",$M84=1),$M84&gt;(ROW(PLE.lastrow)-ROW(PLE.firstrow))),0,IF(OFFSET(PLE!$G$14,$M84,BD$13)="",10^12,OFFSET(PLE!$G$14,$M84,BD$13))))</f>
        <v>0</v>
      </c>
      <c r="BE84" s="182">
        <f ca="1">IF($D84&lt;&gt;"Serviço",0,IF(OR(AND(AUTOEVENTO="Manual",$M84=1),$M84&gt;(ROW(PLE.lastrow)-ROW(PLE.firstrow))),0,IF(OFFSET(PLE!$G$14,$M84,BE$13)="",10^12,OFFSET(PLE!$G$14,$M84,BE$13))))</f>
        <v>0</v>
      </c>
      <c r="BF84" s="182">
        <f ca="1">IF($D84&lt;&gt;"Serviço",0,IF(OR(AND(AUTOEVENTO="Manual",$M84=1),$M84&gt;(ROW(PLE.lastrow)-ROW(PLE.firstrow))),0,IF(OFFSET(PLE!$G$14,$M84,BF$13)="",10^12,OFFSET(PLE!$G$14,$M84,BF$13))))</f>
        <v>0</v>
      </c>
      <c r="BG84" s="182">
        <f ca="1">IF($D84&lt;&gt;"Serviço",0,IF(OR(AND(AUTOEVENTO="Manual",$M84=1),$M84&gt;(ROW(PLE.lastrow)-ROW(PLE.firstrow))),0,IF(OFFSET(PLE!$G$14,$M84,BG$13)="",10^12,OFFSET(PLE!$G$14,$M84,BG$13))))</f>
        <v>0</v>
      </c>
    </row>
    <row r="85" spans="1:59" ht="38.25" x14ac:dyDescent="0.2">
      <c r="A85" s="7" t="str">
        <f t="shared" ca="1" si="8"/>
        <v>69</v>
      </c>
      <c r="B85" s="7" t="str">
        <f ca="1">OFFSET(ORÇAMENTO!C$15,ROW(B85)-ROW(B$15),0)</f>
        <v>S</v>
      </c>
      <c r="C85" s="7" t="str">
        <f ca="1">OFFSET(ORÇAMENTO!L$15,ROW(C85)-ROW(C$15),0)</f>
        <v>F</v>
      </c>
      <c r="D85" s="118" t="str">
        <f ca="1">OFFSET(ORÇAMENTO!N$15,ROW(D85)-ROW(D$15),0)</f>
        <v>Serviço</v>
      </c>
      <c r="E85" s="119" t="str">
        <f ca="1">OFFSET(ORÇAMENTO!O$15,ROW(E85)-ROW(E$15),0)</f>
        <v>6.2.1.</v>
      </c>
      <c r="F85" s="172" t="str">
        <f ca="1">OFFSET(ORÇAMENTO!R$15,ROW(F85)-ROW(F$15),0)</f>
        <v>ELETRODUTO FLEXÍVEL CORRUGADO, PVC, DN 20 MM (1/2"), PARA CIRCUITOS TERMINAIS, INSTALADO EM PAREDE - FORNECIMENTO E INSTALAÇÃO. AF_03/2023</v>
      </c>
      <c r="G85" s="173" t="str">
        <f ca="1">IF($D85&lt;&gt;"Serviço","",OFFSET(ORÇAMENTO!S$15,ROW(G85)-ROW(G$15),0))</f>
        <v>M</v>
      </c>
      <c r="H85" s="124">
        <f ca="1">IF($D85&lt;&gt;"Serviço",0,IF(ACOMPANHAMENTO="BM",ROUND(OFFSET(ORÇAMENTO!AJ$15,ROW(H85)-ROW(H$15),0),15-13*ORÇAMENTO!$AF$7),SUMPRODUCT(($Q$12:$AA$12&lt;&gt;"")*ROUND($Q85:$AA85,15-13*ORÇAMENTO!$AF$7))))</f>
        <v>60</v>
      </c>
      <c r="I85" s="561"/>
      <c r="K85" s="174"/>
      <c r="L85" s="175" t="s">
        <v>255</v>
      </c>
      <c r="M85" s="176">
        <f ca="1">IF($D85&lt;&gt;"Serviço","",IF(AUTOEVENTO="manual",$A85,IF(ISERROR(MATCH($A85,$A$15:OFFSET($A85,-1,0),0)),MAX($M$15:OFFSET(M85,-1,0))+1,INDEX($M$15:OFFSET(M85,-1,0),MATCH($A85,$A$15:OFFSET($A85,-1,0),0)))))</f>
        <v>15</v>
      </c>
      <c r="N85" s="177" t="str">
        <f ca="1">IF($D85&lt;&gt;"Serviço","",IF(AUTOEVENTO="Manual",IF($A85=0,"&lt;-- defina o número do agrupador",OFFSET(EVENTOS!$D$14,$A85,0)),OFFSET($F$15,$A85,0)))</f>
        <v>INSTALAÇÕES ELÉTRICAS</v>
      </c>
      <c r="O85" s="178"/>
      <c r="Q85" s="178"/>
      <c r="R85" s="179"/>
      <c r="S85" s="179"/>
      <c r="T85" s="179"/>
      <c r="U85" s="179"/>
      <c r="V85" s="179"/>
      <c r="W85" s="179"/>
      <c r="X85" s="179"/>
      <c r="Y85" s="179"/>
      <c r="Z85" s="180"/>
      <c r="AB85" s="544">
        <f ca="1">IF(AND($D85="Serviço",AB$12&lt;&gt;0,$H85&gt;0,OR(AUTOEVENTO&lt;&gt;"manual",$M85&lt;&gt;1)),
IF(Import.TipoArredondamento&lt;&gt;"TransfereGOV",
ROUND(OFFSET($P85,0,AB$13),15-13*ORÇAMENTO!$AF$7)/$H85*OFFSET(ORÇAMENTO!$X$15,ROW(AB85)-ROW(AB$15),0),
ROUND(ROUND(OFFSET($P85,0,AB$13),15-13*ORÇAMENTO!$AF$7)*OFFSET(ORÇAMENTO!$W$15,ROW(AB85)-ROW(AB$15),0),15-13*ORÇAMENTO!$AF$11)),0)</f>
        <v>0</v>
      </c>
      <c r="AC85" s="545">
        <f ca="1">IF(AND($D85="Serviço",AC$12&lt;&gt;0,$H85&gt;0,OR(AUTOEVENTO&lt;&gt;"manual",$M85&lt;&gt;1)),
IF(Import.TipoArredondamento&lt;&gt;"TransfereGOV",
ROUND(OFFSET($P85,0,AC$13),15-13*ORÇAMENTO!$AF$7)/$H85*OFFSET(ORÇAMENTO!$X$15,ROW(AC85)-ROW(AC$15),0),
ROUND(ROUND(OFFSET($P85,0,AC$13),15-13*ORÇAMENTO!$AF$7)*OFFSET(ORÇAMENTO!$W$15,ROW(AC85)-ROW(AC$15),0),15-13*ORÇAMENTO!$AF$11)),0)</f>
        <v>0</v>
      </c>
      <c r="AD85" s="545">
        <f ca="1">IF(AND($D85="Serviço",AD$12&lt;&gt;0,$H85&gt;0,OR(AUTOEVENTO&lt;&gt;"manual",$M85&lt;&gt;1)),
IF(Import.TipoArredondamento&lt;&gt;"TransfereGOV",
ROUND(OFFSET($P85,0,AD$13),15-13*ORÇAMENTO!$AF$7)/$H85*OFFSET(ORÇAMENTO!$X$15,ROW(AD85)-ROW(AD$15),0),
ROUND(ROUND(OFFSET($P85,0,AD$13),15-13*ORÇAMENTO!$AF$7)*OFFSET(ORÇAMENTO!$W$15,ROW(AD85)-ROW(AD$15),0),15-13*ORÇAMENTO!$AF$11)),0)</f>
        <v>0</v>
      </c>
      <c r="AE85" s="545">
        <f ca="1">IF(AND($D85="Serviço",AE$12&lt;&gt;0,$H85&gt;0,OR(AUTOEVENTO&lt;&gt;"manual",$M85&lt;&gt;1)),
IF(Import.TipoArredondamento&lt;&gt;"TransfereGOV",
ROUND(OFFSET($P85,0,AE$13),15-13*ORÇAMENTO!$AF$7)/$H85*OFFSET(ORÇAMENTO!$X$15,ROW(AE85)-ROW(AE$15),0),
ROUND(ROUND(OFFSET($P85,0,AE$13),15-13*ORÇAMENTO!$AF$7)*OFFSET(ORÇAMENTO!$W$15,ROW(AE85)-ROW(AE$15),0),15-13*ORÇAMENTO!$AF$11)),0)</f>
        <v>0</v>
      </c>
      <c r="AF85" s="545">
        <f ca="1">IF(AND($D85="Serviço",AF$12&lt;&gt;0,$H85&gt;0,OR(AUTOEVENTO&lt;&gt;"manual",$M85&lt;&gt;1)),
IF(Import.TipoArredondamento&lt;&gt;"TransfereGOV",
ROUND(OFFSET($P85,0,AF$13),15-13*ORÇAMENTO!$AF$7)/$H85*OFFSET(ORÇAMENTO!$X$15,ROW(AF85)-ROW(AF$15),0),
ROUND(ROUND(OFFSET($P85,0,AF$13),15-13*ORÇAMENTO!$AF$7)*OFFSET(ORÇAMENTO!$W$15,ROW(AF85)-ROW(AF$15),0),15-13*ORÇAMENTO!$AF$11)),0)</f>
        <v>0</v>
      </c>
      <c r="AG85" s="545">
        <f ca="1">IF(AND($D85="Serviço",AG$12&lt;&gt;0,$H85&gt;0,OR(AUTOEVENTO&lt;&gt;"manual",$M85&lt;&gt;1)),
IF(Import.TipoArredondamento&lt;&gt;"TransfereGOV",
ROUND(OFFSET($P85,0,AG$13),15-13*ORÇAMENTO!$AF$7)/$H85*OFFSET(ORÇAMENTO!$X$15,ROW(AG85)-ROW(AG$15),0),
ROUND(ROUND(OFFSET($P85,0,AG$13),15-13*ORÇAMENTO!$AF$7)*OFFSET(ORÇAMENTO!$W$15,ROW(AG85)-ROW(AG$15),0),15-13*ORÇAMENTO!$AF$11)),0)</f>
        <v>0</v>
      </c>
      <c r="AH85" s="545">
        <f ca="1">IF(AND($D85="Serviço",AH$12&lt;&gt;0,$H85&gt;0,OR(AUTOEVENTO&lt;&gt;"manual",$M85&lt;&gt;1)),
IF(Import.TipoArredondamento&lt;&gt;"TransfereGOV",
ROUND(OFFSET($P85,0,AH$13),15-13*ORÇAMENTO!$AF$7)/$H85*OFFSET(ORÇAMENTO!$X$15,ROW(AH85)-ROW(AH$15),0),
ROUND(ROUND(OFFSET($P85,0,AH$13),15-13*ORÇAMENTO!$AF$7)*OFFSET(ORÇAMENTO!$W$15,ROW(AH85)-ROW(AH$15),0),15-13*ORÇAMENTO!$AF$11)),0)</f>
        <v>0</v>
      </c>
      <c r="AI85" s="545">
        <f ca="1">IF(AND($D85="Serviço",AI$12&lt;&gt;0,$H85&gt;0,OR(AUTOEVENTO&lt;&gt;"manual",$M85&lt;&gt;1)),
IF(Import.TipoArredondamento&lt;&gt;"TransfereGOV",
ROUND(OFFSET($P85,0,AI$13),15-13*ORÇAMENTO!$AF$7)/$H85*OFFSET(ORÇAMENTO!$X$15,ROW(AI85)-ROW(AI$15),0),
ROUND(ROUND(OFFSET($P85,0,AI$13),15-13*ORÇAMENTO!$AF$7)*OFFSET(ORÇAMENTO!$W$15,ROW(AI85)-ROW(AI$15),0),15-13*ORÇAMENTO!$AF$11)),0)</f>
        <v>0</v>
      </c>
      <c r="AJ85" s="545">
        <f ca="1">IF(AND($D85="Serviço",AJ$12&lt;&gt;0,$H85&gt;0,OR(AUTOEVENTO&lt;&gt;"manual",$M85&lt;&gt;1)),
IF(Import.TipoArredondamento&lt;&gt;"TransfereGOV",
ROUND(OFFSET($P85,0,AJ$13),15-13*ORÇAMENTO!$AF$7)/$H85*OFFSET(ORÇAMENTO!$X$15,ROW(AJ85)-ROW(AJ$15),0),
ROUND(ROUND(OFFSET($P85,0,AJ$13),15-13*ORÇAMENTO!$AF$7)*OFFSET(ORÇAMENTO!$W$15,ROW(AJ85)-ROW(AJ$15),0),15-13*ORÇAMENTO!$AF$11)),0)</f>
        <v>0</v>
      </c>
      <c r="AK85" s="546">
        <f ca="1">IF(AND($D85="Serviço",AK$12&lt;&gt;0,$H85&gt;0,OR(AUTOEVENTO&lt;&gt;"manual",$M85&lt;&gt;1)),
IF(Import.TipoArredondamento&lt;&gt;"TransfereGOV",
ROUND(OFFSET($P85,0,AK$13),15-13*ORÇAMENTO!$AF$7)/$H85*OFFSET(ORÇAMENTO!$X$15,ROW(AK85)-ROW(AK$15),0),
ROUND(ROUND(OFFSET($P85,0,AK$13),15-13*ORÇAMENTO!$AF$7)*OFFSET(ORÇAMENTO!$W$15,ROW(AK85)-ROW(AK$15),0),15-13*ORÇAMENTO!$AF$11)),0)</f>
        <v>0</v>
      </c>
      <c r="AM85" s="181">
        <f ca="1">IF($D85&lt;&gt;"Serviço",0,IF(AND(AUTOEVENTO="Manual",$M85=1),0,IF(OFFSET(CRONOPLE!$F$14,$M85,AM$13)="",10^12,OFFSET(CRONOPLE!$F$14,$M85,AM$13))))</f>
        <v>1000000000000</v>
      </c>
      <c r="AN85" s="181">
        <f ca="1">IF($D85&lt;&gt;"Serviço",0,IF(AND(AUTOEVENTO="Manual",$M85=1),0,IF(OFFSET(CRONOPLE!$F$14,$M85,AN$13)="",10^12,OFFSET(CRONOPLE!$F$14,$M85,AN$13))))</f>
        <v>1000000000000</v>
      </c>
      <c r="AO85" s="181">
        <f ca="1">IF($D85&lt;&gt;"Serviço",0,IF(AND(AUTOEVENTO="Manual",$M85=1),0,IF(OFFSET(CRONOPLE!$F$14,$M85,AO$13)="",10^12,OFFSET(CRONOPLE!$F$14,$M85,AO$13))))</f>
        <v>1000000000000</v>
      </c>
      <c r="AP85" s="181">
        <f ca="1">IF($D85&lt;&gt;"Serviço",0,IF(AND(AUTOEVENTO="Manual",$M85=1),0,IF(OFFSET(CRONOPLE!$F$14,$M85,AP$13)="",10^12,OFFSET(CRONOPLE!$F$14,$M85,AP$13))))</f>
        <v>1000000000000</v>
      </c>
      <c r="AQ85" s="181">
        <f ca="1">IF($D85&lt;&gt;"Serviço",0,IF(AND(AUTOEVENTO="Manual",$M85=1),0,IF(OFFSET(CRONOPLE!$F$14,$M85,AQ$13)="",10^12,OFFSET(CRONOPLE!$F$14,$M85,AQ$13))))</f>
        <v>1000000000000</v>
      </c>
      <c r="AR85" s="181">
        <f ca="1">IF($D85&lt;&gt;"Serviço",0,IF(AND(AUTOEVENTO="Manual",$M85=1),0,IF(OFFSET(CRONOPLE!$F$14,$M85,AR$13)="",10^12,OFFSET(CRONOPLE!$F$14,$M85,AR$13))))</f>
        <v>1000000000000</v>
      </c>
      <c r="AS85" s="181">
        <f ca="1">IF($D85&lt;&gt;"Serviço",0,IF(AND(AUTOEVENTO="Manual",$M85=1),0,IF(OFFSET(CRONOPLE!$F$14,$M85,AS$13)="",10^12,OFFSET(CRONOPLE!$F$14,$M85,AS$13))))</f>
        <v>1000000000000</v>
      </c>
      <c r="AT85" s="181">
        <f ca="1">IF($D85&lt;&gt;"Serviço",0,IF(AND(AUTOEVENTO="Manual",$M85=1),0,IF(OFFSET(CRONOPLE!$F$14,$M85,AT$13)="",10^12,OFFSET(CRONOPLE!$F$14,$M85,AT$13))))</f>
        <v>1000000000000</v>
      </c>
      <c r="AU85" s="181">
        <f ca="1">IF($D85&lt;&gt;"Serviço",0,IF(AND(AUTOEVENTO="Manual",$M85=1),0,IF(OFFSET(CRONOPLE!$F$14,$M85,AU$13)="",10^12,OFFSET(CRONOPLE!$F$14,$M85,AU$13))))</f>
        <v>1000000000000</v>
      </c>
      <c r="AV85" s="181">
        <f ca="1">IF($D85&lt;&gt;"Serviço",0,IF(AND(AUTOEVENTO="Manual",$M85=1),0,IF(OFFSET(CRONOPLE!$F$14,$M85,AV$13)="",10^12,OFFSET(CRONOPLE!$F$14,$M85,AV$13))))</f>
        <v>1000000000000</v>
      </c>
      <c r="AX85" s="182">
        <f ca="1">IF($D85&lt;&gt;"Serviço",0,IF(OR(AND(AUTOEVENTO="Manual",$M85=1),$M85&gt;(ROW(PLE.lastrow)-ROW(PLE.firstrow))),0,IF(OFFSET(PLE!$G$14,$M85,AX$13)="",10^12,OFFSET(PLE!$G$14,$M85,AX$13))))</f>
        <v>1000000000000</v>
      </c>
      <c r="AY85" s="182">
        <f ca="1">IF($D85&lt;&gt;"Serviço",0,IF(OR(AND(AUTOEVENTO="Manual",$M85=1),$M85&gt;(ROW(PLE.lastrow)-ROW(PLE.firstrow))),0,IF(OFFSET(PLE!$G$14,$M85,AY$13)="",10^12,OFFSET(PLE!$G$14,$M85,AY$13))))</f>
        <v>1000000000000</v>
      </c>
      <c r="AZ85" s="182">
        <f ca="1">IF($D85&lt;&gt;"Serviço",0,IF(OR(AND(AUTOEVENTO="Manual",$M85=1),$M85&gt;(ROW(PLE.lastrow)-ROW(PLE.firstrow))),0,IF(OFFSET(PLE!$G$14,$M85,AZ$13)="",10^12,OFFSET(PLE!$G$14,$M85,AZ$13))))</f>
        <v>1000000000000</v>
      </c>
      <c r="BA85" s="182">
        <f ca="1">IF($D85&lt;&gt;"Serviço",0,IF(OR(AND(AUTOEVENTO="Manual",$M85=1),$M85&gt;(ROW(PLE.lastrow)-ROW(PLE.firstrow))),0,IF(OFFSET(PLE!$G$14,$M85,BA$13)="",10^12,OFFSET(PLE!$G$14,$M85,BA$13))))</f>
        <v>1000000000000</v>
      </c>
      <c r="BB85" s="182">
        <f ca="1">IF($D85&lt;&gt;"Serviço",0,IF(OR(AND(AUTOEVENTO="Manual",$M85=1),$M85&gt;(ROW(PLE.lastrow)-ROW(PLE.firstrow))),0,IF(OFFSET(PLE!$G$14,$M85,BB$13)="",10^12,OFFSET(PLE!$G$14,$M85,BB$13))))</f>
        <v>1000000000000</v>
      </c>
      <c r="BC85" s="182">
        <f ca="1">IF($D85&lt;&gt;"Serviço",0,IF(OR(AND(AUTOEVENTO="Manual",$M85=1),$M85&gt;(ROW(PLE.lastrow)-ROW(PLE.firstrow))),0,IF(OFFSET(PLE!$G$14,$M85,BC$13)="",10^12,OFFSET(PLE!$G$14,$M85,BC$13))))</f>
        <v>1000000000000</v>
      </c>
      <c r="BD85" s="182">
        <f ca="1">IF($D85&lt;&gt;"Serviço",0,IF(OR(AND(AUTOEVENTO="Manual",$M85=1),$M85&gt;(ROW(PLE.lastrow)-ROW(PLE.firstrow))),0,IF(OFFSET(PLE!$G$14,$M85,BD$13)="",10^12,OFFSET(PLE!$G$14,$M85,BD$13))))</f>
        <v>1000000000000</v>
      </c>
      <c r="BE85" s="182">
        <f ca="1">IF($D85&lt;&gt;"Serviço",0,IF(OR(AND(AUTOEVENTO="Manual",$M85=1),$M85&gt;(ROW(PLE.lastrow)-ROW(PLE.firstrow))),0,IF(OFFSET(PLE!$G$14,$M85,BE$13)="",10^12,OFFSET(PLE!$G$14,$M85,BE$13))))</f>
        <v>1000000000000</v>
      </c>
      <c r="BF85" s="182">
        <f ca="1">IF($D85&lt;&gt;"Serviço",0,IF(OR(AND(AUTOEVENTO="Manual",$M85=1),$M85&gt;(ROW(PLE.lastrow)-ROW(PLE.firstrow))),0,IF(OFFSET(PLE!$G$14,$M85,BF$13)="",10^12,OFFSET(PLE!$G$14,$M85,BF$13))))</f>
        <v>1000000000000</v>
      </c>
      <c r="BG85" s="182">
        <f ca="1">IF($D85&lt;&gt;"Serviço",0,IF(OR(AND(AUTOEVENTO="Manual",$M85=1),$M85&gt;(ROW(PLE.lastrow)-ROW(PLE.firstrow))),0,IF(OFFSET(PLE!$G$14,$M85,BG$13)="",10^12,OFFSET(PLE!$G$14,$M85,BG$13))))</f>
        <v>1000000000000</v>
      </c>
    </row>
    <row r="86" spans="1:59" ht="38.25" x14ac:dyDescent="0.2">
      <c r="A86" s="7" t="str">
        <f t="shared" ca="1" si="8"/>
        <v>69</v>
      </c>
      <c r="B86" s="7" t="str">
        <f ca="1">OFFSET(ORÇAMENTO!C$15,ROW(B86)-ROW(B$15),0)</f>
        <v>S</v>
      </c>
      <c r="C86" s="7" t="str">
        <f ca="1">OFFSET(ORÇAMENTO!L$15,ROW(C86)-ROW(C$15),0)</f>
        <v>F</v>
      </c>
      <c r="D86" s="118" t="str">
        <f ca="1">OFFSET(ORÇAMENTO!N$15,ROW(D86)-ROW(D$15),0)</f>
        <v>Serviço</v>
      </c>
      <c r="E86" s="119" t="str">
        <f ca="1">OFFSET(ORÇAMENTO!O$15,ROW(E86)-ROW(E$15),0)</f>
        <v>6.2.2.</v>
      </c>
      <c r="F86" s="172" t="str">
        <f ca="1">OFFSET(ORÇAMENTO!R$15,ROW(F86)-ROW(F$15),0)</f>
        <v>QUADRO DE DISTRIBUICAO, EM PVC, DE EMBUTIR, COM BARRAMENTO TERRA / NEUTRO, PARA 12 DISJUNTORES NEMA OU 16 DISJUNTORES DIN</v>
      </c>
      <c r="G86" s="173" t="str">
        <f ca="1">IF($D86&lt;&gt;"Serviço","",OFFSET(ORÇAMENTO!S$15,ROW(G86)-ROW(G$15),0))</f>
        <v>UN</v>
      </c>
      <c r="H86" s="124">
        <f ca="1">IF($D86&lt;&gt;"Serviço",0,IF(ACOMPANHAMENTO="BM",ROUND(OFFSET(ORÇAMENTO!AJ$15,ROW(H86)-ROW(H$15),0),15-13*ORÇAMENTO!$AF$7),SUMPRODUCT(($Q$12:$AA$12&lt;&gt;"")*ROUND($Q86:$AA86,15-13*ORÇAMENTO!$AF$7))))</f>
        <v>1</v>
      </c>
      <c r="I86" s="561"/>
      <c r="K86" s="174"/>
      <c r="L86" s="175" t="s">
        <v>255</v>
      </c>
      <c r="M86" s="176">
        <f ca="1">IF($D86&lt;&gt;"Serviço","",IF(AUTOEVENTO="manual",$A86,IF(ISERROR(MATCH($A86,$A$15:OFFSET($A86,-1,0),0)),MAX($M$15:OFFSET(M86,-1,0))+1,INDEX($M$15:OFFSET(M86,-1,0),MATCH($A86,$A$15:OFFSET($A86,-1,0),0)))))</f>
        <v>15</v>
      </c>
      <c r="N86" s="177" t="str">
        <f ca="1">IF($D86&lt;&gt;"Serviço","",IF(AUTOEVENTO="Manual",IF($A86=0,"&lt;-- defina o número do agrupador",OFFSET(EVENTOS!$D$14,$A86,0)),OFFSET($F$15,$A86,0)))</f>
        <v>INSTALAÇÕES ELÉTRICAS</v>
      </c>
      <c r="O86" s="178"/>
      <c r="Q86" s="178"/>
      <c r="R86" s="179"/>
      <c r="S86" s="179"/>
      <c r="T86" s="179"/>
      <c r="U86" s="179"/>
      <c r="V86" s="179"/>
      <c r="W86" s="179"/>
      <c r="X86" s="179"/>
      <c r="Y86" s="179"/>
      <c r="Z86" s="180"/>
      <c r="AB86" s="544">
        <f ca="1">IF(AND($D86="Serviço",AB$12&lt;&gt;0,$H86&gt;0,OR(AUTOEVENTO&lt;&gt;"manual",$M86&lt;&gt;1)),
IF(Import.TipoArredondamento&lt;&gt;"TransfereGOV",
ROUND(OFFSET($P86,0,AB$13),15-13*ORÇAMENTO!$AF$7)/$H86*OFFSET(ORÇAMENTO!$X$15,ROW(AB86)-ROW(AB$15),0),
ROUND(ROUND(OFFSET($P86,0,AB$13),15-13*ORÇAMENTO!$AF$7)*OFFSET(ORÇAMENTO!$W$15,ROW(AB86)-ROW(AB$15),0),15-13*ORÇAMENTO!$AF$11)),0)</f>
        <v>0</v>
      </c>
      <c r="AC86" s="545">
        <f ca="1">IF(AND($D86="Serviço",AC$12&lt;&gt;0,$H86&gt;0,OR(AUTOEVENTO&lt;&gt;"manual",$M86&lt;&gt;1)),
IF(Import.TipoArredondamento&lt;&gt;"TransfereGOV",
ROUND(OFFSET($P86,0,AC$13),15-13*ORÇAMENTO!$AF$7)/$H86*OFFSET(ORÇAMENTO!$X$15,ROW(AC86)-ROW(AC$15),0),
ROUND(ROUND(OFFSET($P86,0,AC$13),15-13*ORÇAMENTO!$AF$7)*OFFSET(ORÇAMENTO!$W$15,ROW(AC86)-ROW(AC$15),0),15-13*ORÇAMENTO!$AF$11)),0)</f>
        <v>0</v>
      </c>
      <c r="AD86" s="545">
        <f ca="1">IF(AND($D86="Serviço",AD$12&lt;&gt;0,$H86&gt;0,OR(AUTOEVENTO&lt;&gt;"manual",$M86&lt;&gt;1)),
IF(Import.TipoArredondamento&lt;&gt;"TransfereGOV",
ROUND(OFFSET($P86,0,AD$13),15-13*ORÇAMENTO!$AF$7)/$H86*OFFSET(ORÇAMENTO!$X$15,ROW(AD86)-ROW(AD$15),0),
ROUND(ROUND(OFFSET($P86,0,AD$13),15-13*ORÇAMENTO!$AF$7)*OFFSET(ORÇAMENTO!$W$15,ROW(AD86)-ROW(AD$15),0),15-13*ORÇAMENTO!$AF$11)),0)</f>
        <v>0</v>
      </c>
      <c r="AE86" s="545">
        <f ca="1">IF(AND($D86="Serviço",AE$12&lt;&gt;0,$H86&gt;0,OR(AUTOEVENTO&lt;&gt;"manual",$M86&lt;&gt;1)),
IF(Import.TipoArredondamento&lt;&gt;"TransfereGOV",
ROUND(OFFSET($P86,0,AE$13),15-13*ORÇAMENTO!$AF$7)/$H86*OFFSET(ORÇAMENTO!$X$15,ROW(AE86)-ROW(AE$15),0),
ROUND(ROUND(OFFSET($P86,0,AE$13),15-13*ORÇAMENTO!$AF$7)*OFFSET(ORÇAMENTO!$W$15,ROW(AE86)-ROW(AE$15),0),15-13*ORÇAMENTO!$AF$11)),0)</f>
        <v>0</v>
      </c>
      <c r="AF86" s="545">
        <f ca="1">IF(AND($D86="Serviço",AF$12&lt;&gt;0,$H86&gt;0,OR(AUTOEVENTO&lt;&gt;"manual",$M86&lt;&gt;1)),
IF(Import.TipoArredondamento&lt;&gt;"TransfereGOV",
ROUND(OFFSET($P86,0,AF$13),15-13*ORÇAMENTO!$AF$7)/$H86*OFFSET(ORÇAMENTO!$X$15,ROW(AF86)-ROW(AF$15),0),
ROUND(ROUND(OFFSET($P86,0,AF$13),15-13*ORÇAMENTO!$AF$7)*OFFSET(ORÇAMENTO!$W$15,ROW(AF86)-ROW(AF$15),0),15-13*ORÇAMENTO!$AF$11)),0)</f>
        <v>0</v>
      </c>
      <c r="AG86" s="545">
        <f ca="1">IF(AND($D86="Serviço",AG$12&lt;&gt;0,$H86&gt;0,OR(AUTOEVENTO&lt;&gt;"manual",$M86&lt;&gt;1)),
IF(Import.TipoArredondamento&lt;&gt;"TransfereGOV",
ROUND(OFFSET($P86,0,AG$13),15-13*ORÇAMENTO!$AF$7)/$H86*OFFSET(ORÇAMENTO!$X$15,ROW(AG86)-ROW(AG$15),0),
ROUND(ROUND(OFFSET($P86,0,AG$13),15-13*ORÇAMENTO!$AF$7)*OFFSET(ORÇAMENTO!$W$15,ROW(AG86)-ROW(AG$15),0),15-13*ORÇAMENTO!$AF$11)),0)</f>
        <v>0</v>
      </c>
      <c r="AH86" s="545">
        <f ca="1">IF(AND($D86="Serviço",AH$12&lt;&gt;0,$H86&gt;0,OR(AUTOEVENTO&lt;&gt;"manual",$M86&lt;&gt;1)),
IF(Import.TipoArredondamento&lt;&gt;"TransfereGOV",
ROUND(OFFSET($P86,0,AH$13),15-13*ORÇAMENTO!$AF$7)/$H86*OFFSET(ORÇAMENTO!$X$15,ROW(AH86)-ROW(AH$15),0),
ROUND(ROUND(OFFSET($P86,0,AH$13),15-13*ORÇAMENTO!$AF$7)*OFFSET(ORÇAMENTO!$W$15,ROW(AH86)-ROW(AH$15),0),15-13*ORÇAMENTO!$AF$11)),0)</f>
        <v>0</v>
      </c>
      <c r="AI86" s="545">
        <f ca="1">IF(AND($D86="Serviço",AI$12&lt;&gt;0,$H86&gt;0,OR(AUTOEVENTO&lt;&gt;"manual",$M86&lt;&gt;1)),
IF(Import.TipoArredondamento&lt;&gt;"TransfereGOV",
ROUND(OFFSET($P86,0,AI$13),15-13*ORÇAMENTO!$AF$7)/$H86*OFFSET(ORÇAMENTO!$X$15,ROW(AI86)-ROW(AI$15),0),
ROUND(ROUND(OFFSET($P86,0,AI$13),15-13*ORÇAMENTO!$AF$7)*OFFSET(ORÇAMENTO!$W$15,ROW(AI86)-ROW(AI$15),0),15-13*ORÇAMENTO!$AF$11)),0)</f>
        <v>0</v>
      </c>
      <c r="AJ86" s="545">
        <f ca="1">IF(AND($D86="Serviço",AJ$12&lt;&gt;0,$H86&gt;0,OR(AUTOEVENTO&lt;&gt;"manual",$M86&lt;&gt;1)),
IF(Import.TipoArredondamento&lt;&gt;"TransfereGOV",
ROUND(OFFSET($P86,0,AJ$13),15-13*ORÇAMENTO!$AF$7)/$H86*OFFSET(ORÇAMENTO!$X$15,ROW(AJ86)-ROW(AJ$15),0),
ROUND(ROUND(OFFSET($P86,0,AJ$13),15-13*ORÇAMENTO!$AF$7)*OFFSET(ORÇAMENTO!$W$15,ROW(AJ86)-ROW(AJ$15),0),15-13*ORÇAMENTO!$AF$11)),0)</f>
        <v>0</v>
      </c>
      <c r="AK86" s="546">
        <f ca="1">IF(AND($D86="Serviço",AK$12&lt;&gt;0,$H86&gt;0,OR(AUTOEVENTO&lt;&gt;"manual",$M86&lt;&gt;1)),
IF(Import.TipoArredondamento&lt;&gt;"TransfereGOV",
ROUND(OFFSET($P86,0,AK$13),15-13*ORÇAMENTO!$AF$7)/$H86*OFFSET(ORÇAMENTO!$X$15,ROW(AK86)-ROW(AK$15),0),
ROUND(ROUND(OFFSET($P86,0,AK$13),15-13*ORÇAMENTO!$AF$7)*OFFSET(ORÇAMENTO!$W$15,ROW(AK86)-ROW(AK$15),0),15-13*ORÇAMENTO!$AF$11)),0)</f>
        <v>0</v>
      </c>
      <c r="AM86" s="181">
        <f ca="1">IF($D86&lt;&gt;"Serviço",0,IF(AND(AUTOEVENTO="Manual",$M86=1),0,IF(OFFSET(CRONOPLE!$F$14,$M86,AM$13)="",10^12,OFFSET(CRONOPLE!$F$14,$M86,AM$13))))</f>
        <v>1000000000000</v>
      </c>
      <c r="AN86" s="181">
        <f ca="1">IF($D86&lt;&gt;"Serviço",0,IF(AND(AUTOEVENTO="Manual",$M86=1),0,IF(OFFSET(CRONOPLE!$F$14,$M86,AN$13)="",10^12,OFFSET(CRONOPLE!$F$14,$M86,AN$13))))</f>
        <v>1000000000000</v>
      </c>
      <c r="AO86" s="181">
        <f ca="1">IF($D86&lt;&gt;"Serviço",0,IF(AND(AUTOEVENTO="Manual",$M86=1),0,IF(OFFSET(CRONOPLE!$F$14,$M86,AO$13)="",10^12,OFFSET(CRONOPLE!$F$14,$M86,AO$13))))</f>
        <v>1000000000000</v>
      </c>
      <c r="AP86" s="181">
        <f ca="1">IF($D86&lt;&gt;"Serviço",0,IF(AND(AUTOEVENTO="Manual",$M86=1),0,IF(OFFSET(CRONOPLE!$F$14,$M86,AP$13)="",10^12,OFFSET(CRONOPLE!$F$14,$M86,AP$13))))</f>
        <v>1000000000000</v>
      </c>
      <c r="AQ86" s="181">
        <f ca="1">IF($D86&lt;&gt;"Serviço",0,IF(AND(AUTOEVENTO="Manual",$M86=1),0,IF(OFFSET(CRONOPLE!$F$14,$M86,AQ$13)="",10^12,OFFSET(CRONOPLE!$F$14,$M86,AQ$13))))</f>
        <v>1000000000000</v>
      </c>
      <c r="AR86" s="181">
        <f ca="1">IF($D86&lt;&gt;"Serviço",0,IF(AND(AUTOEVENTO="Manual",$M86=1),0,IF(OFFSET(CRONOPLE!$F$14,$M86,AR$13)="",10^12,OFFSET(CRONOPLE!$F$14,$M86,AR$13))))</f>
        <v>1000000000000</v>
      </c>
      <c r="AS86" s="181">
        <f ca="1">IF($D86&lt;&gt;"Serviço",0,IF(AND(AUTOEVENTO="Manual",$M86=1),0,IF(OFFSET(CRONOPLE!$F$14,$M86,AS$13)="",10^12,OFFSET(CRONOPLE!$F$14,$M86,AS$13))))</f>
        <v>1000000000000</v>
      </c>
      <c r="AT86" s="181">
        <f ca="1">IF($D86&lt;&gt;"Serviço",0,IF(AND(AUTOEVENTO="Manual",$M86=1),0,IF(OFFSET(CRONOPLE!$F$14,$M86,AT$13)="",10^12,OFFSET(CRONOPLE!$F$14,$M86,AT$13))))</f>
        <v>1000000000000</v>
      </c>
      <c r="AU86" s="181">
        <f ca="1">IF($D86&lt;&gt;"Serviço",0,IF(AND(AUTOEVENTO="Manual",$M86=1),0,IF(OFFSET(CRONOPLE!$F$14,$M86,AU$13)="",10^12,OFFSET(CRONOPLE!$F$14,$M86,AU$13))))</f>
        <v>1000000000000</v>
      </c>
      <c r="AV86" s="181">
        <f ca="1">IF($D86&lt;&gt;"Serviço",0,IF(AND(AUTOEVENTO="Manual",$M86=1),0,IF(OFFSET(CRONOPLE!$F$14,$M86,AV$13)="",10^12,OFFSET(CRONOPLE!$F$14,$M86,AV$13))))</f>
        <v>1000000000000</v>
      </c>
      <c r="AX86" s="182">
        <f ca="1">IF($D86&lt;&gt;"Serviço",0,IF(OR(AND(AUTOEVENTO="Manual",$M86=1),$M86&gt;(ROW(PLE.lastrow)-ROW(PLE.firstrow))),0,IF(OFFSET(PLE!$G$14,$M86,AX$13)="",10^12,OFFSET(PLE!$G$14,$M86,AX$13))))</f>
        <v>1000000000000</v>
      </c>
      <c r="AY86" s="182">
        <f ca="1">IF($D86&lt;&gt;"Serviço",0,IF(OR(AND(AUTOEVENTO="Manual",$M86=1),$M86&gt;(ROW(PLE.lastrow)-ROW(PLE.firstrow))),0,IF(OFFSET(PLE!$G$14,$M86,AY$13)="",10^12,OFFSET(PLE!$G$14,$M86,AY$13))))</f>
        <v>1000000000000</v>
      </c>
      <c r="AZ86" s="182">
        <f ca="1">IF($D86&lt;&gt;"Serviço",0,IF(OR(AND(AUTOEVENTO="Manual",$M86=1),$M86&gt;(ROW(PLE.lastrow)-ROW(PLE.firstrow))),0,IF(OFFSET(PLE!$G$14,$M86,AZ$13)="",10^12,OFFSET(PLE!$G$14,$M86,AZ$13))))</f>
        <v>1000000000000</v>
      </c>
      <c r="BA86" s="182">
        <f ca="1">IF($D86&lt;&gt;"Serviço",0,IF(OR(AND(AUTOEVENTO="Manual",$M86=1),$M86&gt;(ROW(PLE.lastrow)-ROW(PLE.firstrow))),0,IF(OFFSET(PLE!$G$14,$M86,BA$13)="",10^12,OFFSET(PLE!$G$14,$M86,BA$13))))</f>
        <v>1000000000000</v>
      </c>
      <c r="BB86" s="182">
        <f ca="1">IF($D86&lt;&gt;"Serviço",0,IF(OR(AND(AUTOEVENTO="Manual",$M86=1),$M86&gt;(ROW(PLE.lastrow)-ROW(PLE.firstrow))),0,IF(OFFSET(PLE!$G$14,$M86,BB$13)="",10^12,OFFSET(PLE!$G$14,$M86,BB$13))))</f>
        <v>1000000000000</v>
      </c>
      <c r="BC86" s="182">
        <f ca="1">IF($D86&lt;&gt;"Serviço",0,IF(OR(AND(AUTOEVENTO="Manual",$M86=1),$M86&gt;(ROW(PLE.lastrow)-ROW(PLE.firstrow))),0,IF(OFFSET(PLE!$G$14,$M86,BC$13)="",10^12,OFFSET(PLE!$G$14,$M86,BC$13))))</f>
        <v>1000000000000</v>
      </c>
      <c r="BD86" s="182">
        <f ca="1">IF($D86&lt;&gt;"Serviço",0,IF(OR(AND(AUTOEVENTO="Manual",$M86=1),$M86&gt;(ROW(PLE.lastrow)-ROW(PLE.firstrow))),0,IF(OFFSET(PLE!$G$14,$M86,BD$13)="",10^12,OFFSET(PLE!$G$14,$M86,BD$13))))</f>
        <v>1000000000000</v>
      </c>
      <c r="BE86" s="182">
        <f ca="1">IF($D86&lt;&gt;"Serviço",0,IF(OR(AND(AUTOEVENTO="Manual",$M86=1),$M86&gt;(ROW(PLE.lastrow)-ROW(PLE.firstrow))),0,IF(OFFSET(PLE!$G$14,$M86,BE$13)="",10^12,OFFSET(PLE!$G$14,$M86,BE$13))))</f>
        <v>1000000000000</v>
      </c>
      <c r="BF86" s="182">
        <f ca="1">IF($D86&lt;&gt;"Serviço",0,IF(OR(AND(AUTOEVENTO="Manual",$M86=1),$M86&gt;(ROW(PLE.lastrow)-ROW(PLE.firstrow))),0,IF(OFFSET(PLE!$G$14,$M86,BF$13)="",10^12,OFFSET(PLE!$G$14,$M86,BF$13))))</f>
        <v>1000000000000</v>
      </c>
      <c r="BG86" s="182">
        <f ca="1">IF($D86&lt;&gt;"Serviço",0,IF(OR(AND(AUTOEVENTO="Manual",$M86=1),$M86&gt;(ROW(PLE.lastrow)-ROW(PLE.firstrow))),0,IF(OFFSET(PLE!$G$14,$M86,BG$13)="",10^12,OFFSET(PLE!$G$14,$M86,BG$13))))</f>
        <v>1000000000000</v>
      </c>
    </row>
    <row r="87" spans="1:59" ht="25.5" x14ac:dyDescent="0.2">
      <c r="A87" s="7" t="str">
        <f t="shared" ca="1" si="8"/>
        <v>69</v>
      </c>
      <c r="B87" s="7" t="str">
        <f ca="1">OFFSET(ORÇAMENTO!C$15,ROW(B87)-ROW(B$15),0)</f>
        <v>S</v>
      </c>
      <c r="C87" s="7" t="str">
        <f ca="1">OFFSET(ORÇAMENTO!L$15,ROW(C87)-ROW(C$15),0)</f>
        <v>F</v>
      </c>
      <c r="D87" s="118" t="str">
        <f ca="1">OFFSET(ORÇAMENTO!N$15,ROW(D87)-ROW(D$15),0)</f>
        <v>Serviço</v>
      </c>
      <c r="E87" s="119" t="str">
        <f ca="1">OFFSET(ORÇAMENTO!O$15,ROW(E87)-ROW(E$15),0)</f>
        <v>6.2.3.</v>
      </c>
      <c r="F87" s="172" t="str">
        <f ca="1">OFFSET(ORÇAMENTO!R$15,ROW(F87)-ROW(F$15),0)</f>
        <v>DISJUNTOR BIPOLAR TIPO DIN, CORRENTE NOMINAL DE 32A - FORNECIMENTO E INSTALAÇÃO. AF_07/2025</v>
      </c>
      <c r="G87" s="173" t="str">
        <f ca="1">IF($D87&lt;&gt;"Serviço","",OFFSET(ORÇAMENTO!S$15,ROW(G87)-ROW(G$15),0))</f>
        <v>UN</v>
      </c>
      <c r="H87" s="124">
        <f ca="1">IF($D87&lt;&gt;"Serviço",0,IF(ACOMPANHAMENTO="BM",ROUND(OFFSET(ORÇAMENTO!AJ$15,ROW(H87)-ROW(H$15),0),15-13*ORÇAMENTO!$AF$7),SUMPRODUCT(($Q$12:$AA$12&lt;&gt;"")*ROUND($Q87:$AA87,15-13*ORÇAMENTO!$AF$7))))</f>
        <v>5</v>
      </c>
      <c r="I87" s="561"/>
      <c r="K87" s="174"/>
      <c r="L87" s="175" t="s">
        <v>255</v>
      </c>
      <c r="M87" s="176">
        <f ca="1">IF($D87&lt;&gt;"Serviço","",IF(AUTOEVENTO="manual",$A87,IF(ISERROR(MATCH($A87,$A$15:OFFSET($A87,-1,0),0)),MAX($M$15:OFFSET(M87,-1,0))+1,INDEX($M$15:OFFSET(M87,-1,0),MATCH($A87,$A$15:OFFSET($A87,-1,0),0)))))</f>
        <v>15</v>
      </c>
      <c r="N87" s="177" t="str">
        <f ca="1">IF($D87&lt;&gt;"Serviço","",IF(AUTOEVENTO="Manual",IF($A87=0,"&lt;-- defina o número do agrupador",OFFSET(EVENTOS!$D$14,$A87,0)),OFFSET($F$15,$A87,0)))</f>
        <v>INSTALAÇÕES ELÉTRICAS</v>
      </c>
      <c r="O87" s="178"/>
      <c r="Q87" s="178"/>
      <c r="R87" s="179"/>
      <c r="S87" s="179"/>
      <c r="T87" s="179"/>
      <c r="U87" s="179"/>
      <c r="V87" s="179"/>
      <c r="W87" s="179"/>
      <c r="X87" s="179"/>
      <c r="Y87" s="179"/>
      <c r="Z87" s="180"/>
      <c r="AB87" s="544">
        <f ca="1">IF(AND($D87="Serviço",AB$12&lt;&gt;0,$H87&gt;0,OR(AUTOEVENTO&lt;&gt;"manual",$M87&lt;&gt;1)),
IF(Import.TipoArredondamento&lt;&gt;"TransfereGOV",
ROUND(OFFSET($P87,0,AB$13),15-13*ORÇAMENTO!$AF$7)/$H87*OFFSET(ORÇAMENTO!$X$15,ROW(AB87)-ROW(AB$15),0),
ROUND(ROUND(OFFSET($P87,0,AB$13),15-13*ORÇAMENTO!$AF$7)*OFFSET(ORÇAMENTO!$W$15,ROW(AB87)-ROW(AB$15),0),15-13*ORÇAMENTO!$AF$11)),0)</f>
        <v>0</v>
      </c>
      <c r="AC87" s="545">
        <f ca="1">IF(AND($D87="Serviço",AC$12&lt;&gt;0,$H87&gt;0,OR(AUTOEVENTO&lt;&gt;"manual",$M87&lt;&gt;1)),
IF(Import.TipoArredondamento&lt;&gt;"TransfereGOV",
ROUND(OFFSET($P87,0,AC$13),15-13*ORÇAMENTO!$AF$7)/$H87*OFFSET(ORÇAMENTO!$X$15,ROW(AC87)-ROW(AC$15),0),
ROUND(ROUND(OFFSET($P87,0,AC$13),15-13*ORÇAMENTO!$AF$7)*OFFSET(ORÇAMENTO!$W$15,ROW(AC87)-ROW(AC$15),0),15-13*ORÇAMENTO!$AF$11)),0)</f>
        <v>0</v>
      </c>
      <c r="AD87" s="545">
        <f ca="1">IF(AND($D87="Serviço",AD$12&lt;&gt;0,$H87&gt;0,OR(AUTOEVENTO&lt;&gt;"manual",$M87&lt;&gt;1)),
IF(Import.TipoArredondamento&lt;&gt;"TransfereGOV",
ROUND(OFFSET($P87,0,AD$13),15-13*ORÇAMENTO!$AF$7)/$H87*OFFSET(ORÇAMENTO!$X$15,ROW(AD87)-ROW(AD$15),0),
ROUND(ROUND(OFFSET($P87,0,AD$13),15-13*ORÇAMENTO!$AF$7)*OFFSET(ORÇAMENTO!$W$15,ROW(AD87)-ROW(AD$15),0),15-13*ORÇAMENTO!$AF$11)),0)</f>
        <v>0</v>
      </c>
      <c r="AE87" s="545">
        <f ca="1">IF(AND($D87="Serviço",AE$12&lt;&gt;0,$H87&gt;0,OR(AUTOEVENTO&lt;&gt;"manual",$M87&lt;&gt;1)),
IF(Import.TipoArredondamento&lt;&gt;"TransfereGOV",
ROUND(OFFSET($P87,0,AE$13),15-13*ORÇAMENTO!$AF$7)/$H87*OFFSET(ORÇAMENTO!$X$15,ROW(AE87)-ROW(AE$15),0),
ROUND(ROUND(OFFSET($P87,0,AE$13),15-13*ORÇAMENTO!$AF$7)*OFFSET(ORÇAMENTO!$W$15,ROW(AE87)-ROW(AE$15),0),15-13*ORÇAMENTO!$AF$11)),0)</f>
        <v>0</v>
      </c>
      <c r="AF87" s="545">
        <f ca="1">IF(AND($D87="Serviço",AF$12&lt;&gt;0,$H87&gt;0,OR(AUTOEVENTO&lt;&gt;"manual",$M87&lt;&gt;1)),
IF(Import.TipoArredondamento&lt;&gt;"TransfereGOV",
ROUND(OFFSET($P87,0,AF$13),15-13*ORÇAMENTO!$AF$7)/$H87*OFFSET(ORÇAMENTO!$X$15,ROW(AF87)-ROW(AF$15),0),
ROUND(ROUND(OFFSET($P87,0,AF$13),15-13*ORÇAMENTO!$AF$7)*OFFSET(ORÇAMENTO!$W$15,ROW(AF87)-ROW(AF$15),0),15-13*ORÇAMENTO!$AF$11)),0)</f>
        <v>0</v>
      </c>
      <c r="AG87" s="545">
        <f ca="1">IF(AND($D87="Serviço",AG$12&lt;&gt;0,$H87&gt;0,OR(AUTOEVENTO&lt;&gt;"manual",$M87&lt;&gt;1)),
IF(Import.TipoArredondamento&lt;&gt;"TransfereGOV",
ROUND(OFFSET($P87,0,AG$13),15-13*ORÇAMENTO!$AF$7)/$H87*OFFSET(ORÇAMENTO!$X$15,ROW(AG87)-ROW(AG$15),0),
ROUND(ROUND(OFFSET($P87,0,AG$13),15-13*ORÇAMENTO!$AF$7)*OFFSET(ORÇAMENTO!$W$15,ROW(AG87)-ROW(AG$15),0),15-13*ORÇAMENTO!$AF$11)),0)</f>
        <v>0</v>
      </c>
      <c r="AH87" s="545">
        <f ca="1">IF(AND($D87="Serviço",AH$12&lt;&gt;0,$H87&gt;0,OR(AUTOEVENTO&lt;&gt;"manual",$M87&lt;&gt;1)),
IF(Import.TipoArredondamento&lt;&gt;"TransfereGOV",
ROUND(OFFSET($P87,0,AH$13),15-13*ORÇAMENTO!$AF$7)/$H87*OFFSET(ORÇAMENTO!$X$15,ROW(AH87)-ROW(AH$15),0),
ROUND(ROUND(OFFSET($P87,0,AH$13),15-13*ORÇAMENTO!$AF$7)*OFFSET(ORÇAMENTO!$W$15,ROW(AH87)-ROW(AH$15),0),15-13*ORÇAMENTO!$AF$11)),0)</f>
        <v>0</v>
      </c>
      <c r="AI87" s="545">
        <f ca="1">IF(AND($D87="Serviço",AI$12&lt;&gt;0,$H87&gt;0,OR(AUTOEVENTO&lt;&gt;"manual",$M87&lt;&gt;1)),
IF(Import.TipoArredondamento&lt;&gt;"TransfereGOV",
ROUND(OFFSET($P87,0,AI$13),15-13*ORÇAMENTO!$AF$7)/$H87*OFFSET(ORÇAMENTO!$X$15,ROW(AI87)-ROW(AI$15),0),
ROUND(ROUND(OFFSET($P87,0,AI$13),15-13*ORÇAMENTO!$AF$7)*OFFSET(ORÇAMENTO!$W$15,ROW(AI87)-ROW(AI$15),0),15-13*ORÇAMENTO!$AF$11)),0)</f>
        <v>0</v>
      </c>
      <c r="AJ87" s="545">
        <f ca="1">IF(AND($D87="Serviço",AJ$12&lt;&gt;0,$H87&gt;0,OR(AUTOEVENTO&lt;&gt;"manual",$M87&lt;&gt;1)),
IF(Import.TipoArredondamento&lt;&gt;"TransfereGOV",
ROUND(OFFSET($P87,0,AJ$13),15-13*ORÇAMENTO!$AF$7)/$H87*OFFSET(ORÇAMENTO!$X$15,ROW(AJ87)-ROW(AJ$15),0),
ROUND(ROUND(OFFSET($P87,0,AJ$13),15-13*ORÇAMENTO!$AF$7)*OFFSET(ORÇAMENTO!$W$15,ROW(AJ87)-ROW(AJ$15),0),15-13*ORÇAMENTO!$AF$11)),0)</f>
        <v>0</v>
      </c>
      <c r="AK87" s="546">
        <f ca="1">IF(AND($D87="Serviço",AK$12&lt;&gt;0,$H87&gt;0,OR(AUTOEVENTO&lt;&gt;"manual",$M87&lt;&gt;1)),
IF(Import.TipoArredondamento&lt;&gt;"TransfereGOV",
ROUND(OFFSET($P87,0,AK$13),15-13*ORÇAMENTO!$AF$7)/$H87*OFFSET(ORÇAMENTO!$X$15,ROW(AK87)-ROW(AK$15),0),
ROUND(ROUND(OFFSET($P87,0,AK$13),15-13*ORÇAMENTO!$AF$7)*OFFSET(ORÇAMENTO!$W$15,ROW(AK87)-ROW(AK$15),0),15-13*ORÇAMENTO!$AF$11)),0)</f>
        <v>0</v>
      </c>
      <c r="AM87" s="181">
        <f ca="1">IF($D87&lt;&gt;"Serviço",0,IF(AND(AUTOEVENTO="Manual",$M87=1),0,IF(OFFSET(CRONOPLE!$F$14,$M87,AM$13)="",10^12,OFFSET(CRONOPLE!$F$14,$M87,AM$13))))</f>
        <v>1000000000000</v>
      </c>
      <c r="AN87" s="181">
        <f ca="1">IF($D87&lt;&gt;"Serviço",0,IF(AND(AUTOEVENTO="Manual",$M87=1),0,IF(OFFSET(CRONOPLE!$F$14,$M87,AN$13)="",10^12,OFFSET(CRONOPLE!$F$14,$M87,AN$13))))</f>
        <v>1000000000000</v>
      </c>
      <c r="AO87" s="181">
        <f ca="1">IF($D87&lt;&gt;"Serviço",0,IF(AND(AUTOEVENTO="Manual",$M87=1),0,IF(OFFSET(CRONOPLE!$F$14,$M87,AO$13)="",10^12,OFFSET(CRONOPLE!$F$14,$M87,AO$13))))</f>
        <v>1000000000000</v>
      </c>
      <c r="AP87" s="181">
        <f ca="1">IF($D87&lt;&gt;"Serviço",0,IF(AND(AUTOEVENTO="Manual",$M87=1),0,IF(OFFSET(CRONOPLE!$F$14,$M87,AP$13)="",10^12,OFFSET(CRONOPLE!$F$14,$M87,AP$13))))</f>
        <v>1000000000000</v>
      </c>
      <c r="AQ87" s="181">
        <f ca="1">IF($D87&lt;&gt;"Serviço",0,IF(AND(AUTOEVENTO="Manual",$M87=1),0,IF(OFFSET(CRONOPLE!$F$14,$M87,AQ$13)="",10^12,OFFSET(CRONOPLE!$F$14,$M87,AQ$13))))</f>
        <v>1000000000000</v>
      </c>
      <c r="AR87" s="181">
        <f ca="1">IF($D87&lt;&gt;"Serviço",0,IF(AND(AUTOEVENTO="Manual",$M87=1),0,IF(OFFSET(CRONOPLE!$F$14,$M87,AR$13)="",10^12,OFFSET(CRONOPLE!$F$14,$M87,AR$13))))</f>
        <v>1000000000000</v>
      </c>
      <c r="AS87" s="181">
        <f ca="1">IF($D87&lt;&gt;"Serviço",0,IF(AND(AUTOEVENTO="Manual",$M87=1),0,IF(OFFSET(CRONOPLE!$F$14,$M87,AS$13)="",10^12,OFFSET(CRONOPLE!$F$14,$M87,AS$13))))</f>
        <v>1000000000000</v>
      </c>
      <c r="AT87" s="181">
        <f ca="1">IF($D87&lt;&gt;"Serviço",0,IF(AND(AUTOEVENTO="Manual",$M87=1),0,IF(OFFSET(CRONOPLE!$F$14,$M87,AT$13)="",10^12,OFFSET(CRONOPLE!$F$14,$M87,AT$13))))</f>
        <v>1000000000000</v>
      </c>
      <c r="AU87" s="181">
        <f ca="1">IF($D87&lt;&gt;"Serviço",0,IF(AND(AUTOEVENTO="Manual",$M87=1),0,IF(OFFSET(CRONOPLE!$F$14,$M87,AU$13)="",10^12,OFFSET(CRONOPLE!$F$14,$M87,AU$13))))</f>
        <v>1000000000000</v>
      </c>
      <c r="AV87" s="181">
        <f ca="1">IF($D87&lt;&gt;"Serviço",0,IF(AND(AUTOEVENTO="Manual",$M87=1),0,IF(OFFSET(CRONOPLE!$F$14,$M87,AV$13)="",10^12,OFFSET(CRONOPLE!$F$14,$M87,AV$13))))</f>
        <v>1000000000000</v>
      </c>
      <c r="AX87" s="182">
        <f ca="1">IF($D87&lt;&gt;"Serviço",0,IF(OR(AND(AUTOEVENTO="Manual",$M87=1),$M87&gt;(ROW(PLE.lastrow)-ROW(PLE.firstrow))),0,IF(OFFSET(PLE!$G$14,$M87,AX$13)="",10^12,OFFSET(PLE!$G$14,$M87,AX$13))))</f>
        <v>1000000000000</v>
      </c>
      <c r="AY87" s="182">
        <f ca="1">IF($D87&lt;&gt;"Serviço",0,IF(OR(AND(AUTOEVENTO="Manual",$M87=1),$M87&gt;(ROW(PLE.lastrow)-ROW(PLE.firstrow))),0,IF(OFFSET(PLE!$G$14,$M87,AY$13)="",10^12,OFFSET(PLE!$G$14,$M87,AY$13))))</f>
        <v>1000000000000</v>
      </c>
      <c r="AZ87" s="182">
        <f ca="1">IF($D87&lt;&gt;"Serviço",0,IF(OR(AND(AUTOEVENTO="Manual",$M87=1),$M87&gt;(ROW(PLE.lastrow)-ROW(PLE.firstrow))),0,IF(OFFSET(PLE!$G$14,$M87,AZ$13)="",10^12,OFFSET(PLE!$G$14,$M87,AZ$13))))</f>
        <v>1000000000000</v>
      </c>
      <c r="BA87" s="182">
        <f ca="1">IF($D87&lt;&gt;"Serviço",0,IF(OR(AND(AUTOEVENTO="Manual",$M87=1),$M87&gt;(ROW(PLE.lastrow)-ROW(PLE.firstrow))),0,IF(OFFSET(PLE!$G$14,$M87,BA$13)="",10^12,OFFSET(PLE!$G$14,$M87,BA$13))))</f>
        <v>1000000000000</v>
      </c>
      <c r="BB87" s="182">
        <f ca="1">IF($D87&lt;&gt;"Serviço",0,IF(OR(AND(AUTOEVENTO="Manual",$M87=1),$M87&gt;(ROW(PLE.lastrow)-ROW(PLE.firstrow))),0,IF(OFFSET(PLE!$G$14,$M87,BB$13)="",10^12,OFFSET(PLE!$G$14,$M87,BB$13))))</f>
        <v>1000000000000</v>
      </c>
      <c r="BC87" s="182">
        <f ca="1">IF($D87&lt;&gt;"Serviço",0,IF(OR(AND(AUTOEVENTO="Manual",$M87=1),$M87&gt;(ROW(PLE.lastrow)-ROW(PLE.firstrow))),0,IF(OFFSET(PLE!$G$14,$M87,BC$13)="",10^12,OFFSET(PLE!$G$14,$M87,BC$13))))</f>
        <v>1000000000000</v>
      </c>
      <c r="BD87" s="182">
        <f ca="1">IF($D87&lt;&gt;"Serviço",0,IF(OR(AND(AUTOEVENTO="Manual",$M87=1),$M87&gt;(ROW(PLE.lastrow)-ROW(PLE.firstrow))),0,IF(OFFSET(PLE!$G$14,$M87,BD$13)="",10^12,OFFSET(PLE!$G$14,$M87,BD$13))))</f>
        <v>1000000000000</v>
      </c>
      <c r="BE87" s="182">
        <f ca="1">IF($D87&lt;&gt;"Serviço",0,IF(OR(AND(AUTOEVENTO="Manual",$M87=1),$M87&gt;(ROW(PLE.lastrow)-ROW(PLE.firstrow))),0,IF(OFFSET(PLE!$G$14,$M87,BE$13)="",10^12,OFFSET(PLE!$G$14,$M87,BE$13))))</f>
        <v>1000000000000</v>
      </c>
      <c r="BF87" s="182">
        <f ca="1">IF($D87&lt;&gt;"Serviço",0,IF(OR(AND(AUTOEVENTO="Manual",$M87=1),$M87&gt;(ROW(PLE.lastrow)-ROW(PLE.firstrow))),0,IF(OFFSET(PLE!$G$14,$M87,BF$13)="",10^12,OFFSET(PLE!$G$14,$M87,BF$13))))</f>
        <v>1000000000000</v>
      </c>
      <c r="BG87" s="182">
        <f ca="1">IF($D87&lt;&gt;"Serviço",0,IF(OR(AND(AUTOEVENTO="Manual",$M87=1),$M87&gt;(ROW(PLE.lastrow)-ROW(PLE.firstrow))),0,IF(OFFSET(PLE!$G$14,$M87,BG$13)="",10^12,OFFSET(PLE!$G$14,$M87,BG$13))))</f>
        <v>1000000000000</v>
      </c>
    </row>
    <row r="88" spans="1:59" ht="25.5" x14ac:dyDescent="0.2">
      <c r="A88" s="7" t="str">
        <f ca="1">IF(AUTOEVENTO="Manual",IF(K88&lt;&gt;"",MIN(VALUE(LEFT(K88,FIND(".",K88)-1)),COUNTA(EVENTOS.Lista)),0),IF(OR($B88&gt;AUTOEVENTO,$B88="S",$B88=0),SUBSTITUTE(OFFSET($A88,-1,0),IF($D88="Serviço",".",""),""),ROW(A88)-ROW($A$15)&amp;"."))</f>
        <v>69</v>
      </c>
      <c r="B88" s="7" t="str">
        <f ca="1">OFFSET(ORÇAMENTO!C$15,ROW(B88)-ROW(B$15),0)</f>
        <v>S</v>
      </c>
      <c r="C88" s="7" t="str">
        <f ca="1">OFFSET(ORÇAMENTO!L$15,ROW(C88)-ROW(C$15),0)</f>
        <v>F</v>
      </c>
      <c r="D88" s="118" t="str">
        <f ca="1">OFFSET(ORÇAMENTO!N$15,ROW(D88)-ROW(D$15),0)</f>
        <v>Serviço</v>
      </c>
      <c r="E88" s="119" t="str">
        <f ca="1">OFFSET(ORÇAMENTO!O$15,ROW(E88)-ROW(E$15),0)</f>
        <v>6.2.4.</v>
      </c>
      <c r="F88" s="172" t="str">
        <f ca="1">OFFSET(ORÇAMENTO!R$15,ROW(F88)-ROW(F$15),0)</f>
        <v>DISJUNTOR BIPOLAR TIPO DIN, CORRENTE NOMINAL DE 20A - FORNECIMENTO E INSTALAÇÃO. AF_07/2025</v>
      </c>
      <c r="G88" s="173" t="str">
        <f ca="1">IF($D88&lt;&gt;"Serviço","",OFFSET(ORÇAMENTO!S$15,ROW(G88)-ROW(G$15),0))</f>
        <v>UN</v>
      </c>
      <c r="H88" s="124">
        <f ca="1">IF($D88&lt;&gt;"Serviço",0,IF(ACOMPANHAMENTO="BM",ROUND(OFFSET(ORÇAMENTO!AJ$15,ROW(H88)-ROW(H$15),0),15-13*ORÇAMENTO!$AF$7),SUMPRODUCT(($Q$12:$AA$12&lt;&gt;"")*ROUND($Q88:$AA88,15-13*ORÇAMENTO!$AF$7))))</f>
        <v>2</v>
      </c>
      <c r="I88" s="561"/>
      <c r="K88" s="174"/>
      <c r="L88" s="175" t="s">
        <v>255</v>
      </c>
      <c r="M88" s="176">
        <f ca="1">IF($D88&lt;&gt;"Serviço","",IF(AUTOEVENTO="manual",$A88,IF(ISERROR(MATCH($A88,$A$15:OFFSET($A88,-1,0),0)),MAX($M$15:OFFSET(M88,-1,0))+1,INDEX($M$15:OFFSET(M88,-1,0),MATCH($A88,$A$15:OFFSET($A88,-1,0),0)))))</f>
        <v>15</v>
      </c>
      <c r="N88" s="177" t="str">
        <f ca="1">IF($D88&lt;&gt;"Serviço","",IF(AUTOEVENTO="Manual",IF($A88=0,"&lt;-- defina o número do agrupador",OFFSET(EVENTOS!$D$14,$A88,0)),OFFSET($F$15,$A88,0)))</f>
        <v>INSTALAÇÕES ELÉTRICAS</v>
      </c>
      <c r="O88" s="178"/>
      <c r="Q88" s="178"/>
      <c r="R88" s="179"/>
      <c r="S88" s="179"/>
      <c r="T88" s="179"/>
      <c r="U88" s="179"/>
      <c r="V88" s="179"/>
      <c r="W88" s="179"/>
      <c r="X88" s="179"/>
      <c r="Y88" s="179"/>
      <c r="Z88" s="180"/>
      <c r="AB88" s="544">
        <f ca="1">IF(AND($D88="Serviço",AB$12&lt;&gt;0,$H88&gt;0,OR(AUTOEVENTO&lt;&gt;"manual",$M88&lt;&gt;1)),
IF(Import.TipoArredondamento&lt;&gt;"TransfereGOV",
ROUND(OFFSET($P88,0,AB$13),15-13*ORÇAMENTO!$AF$7)/$H88*OFFSET(ORÇAMENTO!$X$15,ROW(AB88)-ROW(AB$15),0),
ROUND(ROUND(OFFSET($P88,0,AB$13),15-13*ORÇAMENTO!$AF$7)*OFFSET(ORÇAMENTO!$W$15,ROW(AB88)-ROW(AB$15),0),15-13*ORÇAMENTO!$AF$11)),0)</f>
        <v>0</v>
      </c>
      <c r="AC88" s="545">
        <f ca="1">IF(AND($D88="Serviço",AC$12&lt;&gt;0,$H88&gt;0,OR(AUTOEVENTO&lt;&gt;"manual",$M88&lt;&gt;1)),
IF(Import.TipoArredondamento&lt;&gt;"TransfereGOV",
ROUND(OFFSET($P88,0,AC$13),15-13*ORÇAMENTO!$AF$7)/$H88*OFFSET(ORÇAMENTO!$X$15,ROW(AC88)-ROW(AC$15),0),
ROUND(ROUND(OFFSET($P88,0,AC$13),15-13*ORÇAMENTO!$AF$7)*OFFSET(ORÇAMENTO!$W$15,ROW(AC88)-ROW(AC$15),0),15-13*ORÇAMENTO!$AF$11)),0)</f>
        <v>0</v>
      </c>
      <c r="AD88" s="545">
        <f ca="1">IF(AND($D88="Serviço",AD$12&lt;&gt;0,$H88&gt;0,OR(AUTOEVENTO&lt;&gt;"manual",$M88&lt;&gt;1)),
IF(Import.TipoArredondamento&lt;&gt;"TransfereGOV",
ROUND(OFFSET($P88,0,AD$13),15-13*ORÇAMENTO!$AF$7)/$H88*OFFSET(ORÇAMENTO!$X$15,ROW(AD88)-ROW(AD$15),0),
ROUND(ROUND(OFFSET($P88,0,AD$13),15-13*ORÇAMENTO!$AF$7)*OFFSET(ORÇAMENTO!$W$15,ROW(AD88)-ROW(AD$15),0),15-13*ORÇAMENTO!$AF$11)),0)</f>
        <v>0</v>
      </c>
      <c r="AE88" s="545">
        <f ca="1">IF(AND($D88="Serviço",AE$12&lt;&gt;0,$H88&gt;0,OR(AUTOEVENTO&lt;&gt;"manual",$M88&lt;&gt;1)),
IF(Import.TipoArredondamento&lt;&gt;"TransfereGOV",
ROUND(OFFSET($P88,0,AE$13),15-13*ORÇAMENTO!$AF$7)/$H88*OFFSET(ORÇAMENTO!$X$15,ROW(AE88)-ROW(AE$15),0),
ROUND(ROUND(OFFSET($P88,0,AE$13),15-13*ORÇAMENTO!$AF$7)*OFFSET(ORÇAMENTO!$W$15,ROW(AE88)-ROW(AE$15),0),15-13*ORÇAMENTO!$AF$11)),0)</f>
        <v>0</v>
      </c>
      <c r="AF88" s="545">
        <f ca="1">IF(AND($D88="Serviço",AF$12&lt;&gt;0,$H88&gt;0,OR(AUTOEVENTO&lt;&gt;"manual",$M88&lt;&gt;1)),
IF(Import.TipoArredondamento&lt;&gt;"TransfereGOV",
ROUND(OFFSET($P88,0,AF$13),15-13*ORÇAMENTO!$AF$7)/$H88*OFFSET(ORÇAMENTO!$X$15,ROW(AF88)-ROW(AF$15),0),
ROUND(ROUND(OFFSET($P88,0,AF$13),15-13*ORÇAMENTO!$AF$7)*OFFSET(ORÇAMENTO!$W$15,ROW(AF88)-ROW(AF$15),0),15-13*ORÇAMENTO!$AF$11)),0)</f>
        <v>0</v>
      </c>
      <c r="AG88" s="545">
        <f ca="1">IF(AND($D88="Serviço",AG$12&lt;&gt;0,$H88&gt;0,OR(AUTOEVENTO&lt;&gt;"manual",$M88&lt;&gt;1)),
IF(Import.TipoArredondamento&lt;&gt;"TransfereGOV",
ROUND(OFFSET($P88,0,AG$13),15-13*ORÇAMENTO!$AF$7)/$H88*OFFSET(ORÇAMENTO!$X$15,ROW(AG88)-ROW(AG$15),0),
ROUND(ROUND(OFFSET($P88,0,AG$13),15-13*ORÇAMENTO!$AF$7)*OFFSET(ORÇAMENTO!$W$15,ROW(AG88)-ROW(AG$15),0),15-13*ORÇAMENTO!$AF$11)),0)</f>
        <v>0</v>
      </c>
      <c r="AH88" s="545">
        <f ca="1">IF(AND($D88="Serviço",AH$12&lt;&gt;0,$H88&gt;0,OR(AUTOEVENTO&lt;&gt;"manual",$M88&lt;&gt;1)),
IF(Import.TipoArredondamento&lt;&gt;"TransfereGOV",
ROUND(OFFSET($P88,0,AH$13),15-13*ORÇAMENTO!$AF$7)/$H88*OFFSET(ORÇAMENTO!$X$15,ROW(AH88)-ROW(AH$15),0),
ROUND(ROUND(OFFSET($P88,0,AH$13),15-13*ORÇAMENTO!$AF$7)*OFFSET(ORÇAMENTO!$W$15,ROW(AH88)-ROW(AH$15),0),15-13*ORÇAMENTO!$AF$11)),0)</f>
        <v>0</v>
      </c>
      <c r="AI88" s="545">
        <f ca="1">IF(AND($D88="Serviço",AI$12&lt;&gt;0,$H88&gt;0,OR(AUTOEVENTO&lt;&gt;"manual",$M88&lt;&gt;1)),
IF(Import.TipoArredondamento&lt;&gt;"TransfereGOV",
ROUND(OFFSET($P88,0,AI$13),15-13*ORÇAMENTO!$AF$7)/$H88*OFFSET(ORÇAMENTO!$X$15,ROW(AI88)-ROW(AI$15),0),
ROUND(ROUND(OFFSET($P88,0,AI$13),15-13*ORÇAMENTO!$AF$7)*OFFSET(ORÇAMENTO!$W$15,ROW(AI88)-ROW(AI$15),0),15-13*ORÇAMENTO!$AF$11)),0)</f>
        <v>0</v>
      </c>
      <c r="AJ88" s="545">
        <f ca="1">IF(AND($D88="Serviço",AJ$12&lt;&gt;0,$H88&gt;0,OR(AUTOEVENTO&lt;&gt;"manual",$M88&lt;&gt;1)),
IF(Import.TipoArredondamento&lt;&gt;"TransfereGOV",
ROUND(OFFSET($P88,0,AJ$13),15-13*ORÇAMENTO!$AF$7)/$H88*OFFSET(ORÇAMENTO!$X$15,ROW(AJ88)-ROW(AJ$15),0),
ROUND(ROUND(OFFSET($P88,0,AJ$13),15-13*ORÇAMENTO!$AF$7)*OFFSET(ORÇAMENTO!$W$15,ROW(AJ88)-ROW(AJ$15),0),15-13*ORÇAMENTO!$AF$11)),0)</f>
        <v>0</v>
      </c>
      <c r="AK88" s="546">
        <f ca="1">IF(AND($D88="Serviço",AK$12&lt;&gt;0,$H88&gt;0,OR(AUTOEVENTO&lt;&gt;"manual",$M88&lt;&gt;1)),
IF(Import.TipoArredondamento&lt;&gt;"TransfereGOV",
ROUND(OFFSET($P88,0,AK$13),15-13*ORÇAMENTO!$AF$7)/$H88*OFFSET(ORÇAMENTO!$X$15,ROW(AK88)-ROW(AK$15),0),
ROUND(ROUND(OFFSET($P88,0,AK$13),15-13*ORÇAMENTO!$AF$7)*OFFSET(ORÇAMENTO!$W$15,ROW(AK88)-ROW(AK$15),0),15-13*ORÇAMENTO!$AF$11)),0)</f>
        <v>0</v>
      </c>
      <c r="AM88" s="181">
        <f ca="1">IF($D88&lt;&gt;"Serviço",0,IF(AND(AUTOEVENTO="Manual",$M88=1),0,IF(OFFSET(CRONOPLE!$F$14,$M88,AM$13)="",10^12,OFFSET(CRONOPLE!$F$14,$M88,AM$13))))</f>
        <v>1000000000000</v>
      </c>
      <c r="AN88" s="181">
        <f ca="1">IF($D88&lt;&gt;"Serviço",0,IF(AND(AUTOEVENTO="Manual",$M88=1),0,IF(OFFSET(CRONOPLE!$F$14,$M88,AN$13)="",10^12,OFFSET(CRONOPLE!$F$14,$M88,AN$13))))</f>
        <v>1000000000000</v>
      </c>
      <c r="AO88" s="181">
        <f ca="1">IF($D88&lt;&gt;"Serviço",0,IF(AND(AUTOEVENTO="Manual",$M88=1),0,IF(OFFSET(CRONOPLE!$F$14,$M88,AO$13)="",10^12,OFFSET(CRONOPLE!$F$14,$M88,AO$13))))</f>
        <v>1000000000000</v>
      </c>
      <c r="AP88" s="181">
        <f ca="1">IF($D88&lt;&gt;"Serviço",0,IF(AND(AUTOEVENTO="Manual",$M88=1),0,IF(OFFSET(CRONOPLE!$F$14,$M88,AP$13)="",10^12,OFFSET(CRONOPLE!$F$14,$M88,AP$13))))</f>
        <v>1000000000000</v>
      </c>
      <c r="AQ88" s="181">
        <f ca="1">IF($D88&lt;&gt;"Serviço",0,IF(AND(AUTOEVENTO="Manual",$M88=1),0,IF(OFFSET(CRONOPLE!$F$14,$M88,AQ$13)="",10^12,OFFSET(CRONOPLE!$F$14,$M88,AQ$13))))</f>
        <v>1000000000000</v>
      </c>
      <c r="AR88" s="181">
        <f ca="1">IF($D88&lt;&gt;"Serviço",0,IF(AND(AUTOEVENTO="Manual",$M88=1),0,IF(OFFSET(CRONOPLE!$F$14,$M88,AR$13)="",10^12,OFFSET(CRONOPLE!$F$14,$M88,AR$13))))</f>
        <v>1000000000000</v>
      </c>
      <c r="AS88" s="181">
        <f ca="1">IF($D88&lt;&gt;"Serviço",0,IF(AND(AUTOEVENTO="Manual",$M88=1),0,IF(OFFSET(CRONOPLE!$F$14,$M88,AS$13)="",10^12,OFFSET(CRONOPLE!$F$14,$M88,AS$13))))</f>
        <v>1000000000000</v>
      </c>
      <c r="AT88" s="181">
        <f ca="1">IF($D88&lt;&gt;"Serviço",0,IF(AND(AUTOEVENTO="Manual",$M88=1),0,IF(OFFSET(CRONOPLE!$F$14,$M88,AT$13)="",10^12,OFFSET(CRONOPLE!$F$14,$M88,AT$13))))</f>
        <v>1000000000000</v>
      </c>
      <c r="AU88" s="181">
        <f ca="1">IF($D88&lt;&gt;"Serviço",0,IF(AND(AUTOEVENTO="Manual",$M88=1),0,IF(OFFSET(CRONOPLE!$F$14,$M88,AU$13)="",10^12,OFFSET(CRONOPLE!$F$14,$M88,AU$13))))</f>
        <v>1000000000000</v>
      </c>
      <c r="AV88" s="181">
        <f ca="1">IF($D88&lt;&gt;"Serviço",0,IF(AND(AUTOEVENTO="Manual",$M88=1),0,IF(OFFSET(CRONOPLE!$F$14,$M88,AV$13)="",10^12,OFFSET(CRONOPLE!$F$14,$M88,AV$13))))</f>
        <v>1000000000000</v>
      </c>
      <c r="AX88" s="182">
        <f ca="1">IF($D88&lt;&gt;"Serviço",0,IF(OR(AND(AUTOEVENTO="Manual",$M88=1),$M88&gt;(ROW(PLE.lastrow)-ROW(PLE.firstrow))),0,IF(OFFSET(PLE!$G$14,$M88,AX$13)="",10^12,OFFSET(PLE!$G$14,$M88,AX$13))))</f>
        <v>1000000000000</v>
      </c>
      <c r="AY88" s="182">
        <f ca="1">IF($D88&lt;&gt;"Serviço",0,IF(OR(AND(AUTOEVENTO="Manual",$M88=1),$M88&gt;(ROW(PLE.lastrow)-ROW(PLE.firstrow))),0,IF(OFFSET(PLE!$G$14,$M88,AY$13)="",10^12,OFFSET(PLE!$G$14,$M88,AY$13))))</f>
        <v>1000000000000</v>
      </c>
      <c r="AZ88" s="182">
        <f ca="1">IF($D88&lt;&gt;"Serviço",0,IF(OR(AND(AUTOEVENTO="Manual",$M88=1),$M88&gt;(ROW(PLE.lastrow)-ROW(PLE.firstrow))),0,IF(OFFSET(PLE!$G$14,$M88,AZ$13)="",10^12,OFFSET(PLE!$G$14,$M88,AZ$13))))</f>
        <v>1000000000000</v>
      </c>
      <c r="BA88" s="182">
        <f ca="1">IF($D88&lt;&gt;"Serviço",0,IF(OR(AND(AUTOEVENTO="Manual",$M88=1),$M88&gt;(ROW(PLE.lastrow)-ROW(PLE.firstrow))),0,IF(OFFSET(PLE!$G$14,$M88,BA$13)="",10^12,OFFSET(PLE!$G$14,$M88,BA$13))))</f>
        <v>1000000000000</v>
      </c>
      <c r="BB88" s="182">
        <f ca="1">IF($D88&lt;&gt;"Serviço",0,IF(OR(AND(AUTOEVENTO="Manual",$M88=1),$M88&gt;(ROW(PLE.lastrow)-ROW(PLE.firstrow))),0,IF(OFFSET(PLE!$G$14,$M88,BB$13)="",10^12,OFFSET(PLE!$G$14,$M88,BB$13))))</f>
        <v>1000000000000</v>
      </c>
      <c r="BC88" s="182">
        <f ca="1">IF($D88&lt;&gt;"Serviço",0,IF(OR(AND(AUTOEVENTO="Manual",$M88=1),$M88&gt;(ROW(PLE.lastrow)-ROW(PLE.firstrow))),0,IF(OFFSET(PLE!$G$14,$M88,BC$13)="",10^12,OFFSET(PLE!$G$14,$M88,BC$13))))</f>
        <v>1000000000000</v>
      </c>
      <c r="BD88" s="182">
        <f ca="1">IF($D88&lt;&gt;"Serviço",0,IF(OR(AND(AUTOEVENTO="Manual",$M88=1),$M88&gt;(ROW(PLE.lastrow)-ROW(PLE.firstrow))),0,IF(OFFSET(PLE!$G$14,$M88,BD$13)="",10^12,OFFSET(PLE!$G$14,$M88,BD$13))))</f>
        <v>1000000000000</v>
      </c>
      <c r="BE88" s="182">
        <f ca="1">IF($D88&lt;&gt;"Serviço",0,IF(OR(AND(AUTOEVENTO="Manual",$M88=1),$M88&gt;(ROW(PLE.lastrow)-ROW(PLE.firstrow))),0,IF(OFFSET(PLE!$G$14,$M88,BE$13)="",10^12,OFFSET(PLE!$G$14,$M88,BE$13))))</f>
        <v>1000000000000</v>
      </c>
      <c r="BF88" s="182">
        <f ca="1">IF($D88&lt;&gt;"Serviço",0,IF(OR(AND(AUTOEVENTO="Manual",$M88=1),$M88&gt;(ROW(PLE.lastrow)-ROW(PLE.firstrow))),0,IF(OFFSET(PLE!$G$14,$M88,BF$13)="",10^12,OFFSET(PLE!$G$14,$M88,BF$13))))</f>
        <v>1000000000000</v>
      </c>
      <c r="BG88" s="182">
        <f ca="1">IF($D88&lt;&gt;"Serviço",0,IF(OR(AND(AUTOEVENTO="Manual",$M88=1),$M88&gt;(ROW(PLE.lastrow)-ROW(PLE.firstrow))),0,IF(OFFSET(PLE!$G$14,$M88,BG$13)="",10^12,OFFSET(PLE!$G$14,$M88,BG$13))))</f>
        <v>1000000000000</v>
      </c>
    </row>
    <row r="89" spans="1:59" ht="25.5" x14ac:dyDescent="0.2">
      <c r="A89" s="7" t="str">
        <f t="shared" ca="1" si="8"/>
        <v>69</v>
      </c>
      <c r="B89" s="7" t="str">
        <f ca="1">OFFSET(ORÇAMENTO!C$15,ROW(B89)-ROW(B$15),0)</f>
        <v>S</v>
      </c>
      <c r="C89" s="7" t="str">
        <f ca="1">OFFSET(ORÇAMENTO!L$15,ROW(C89)-ROW(C$15),0)</f>
        <v>F</v>
      </c>
      <c r="D89" s="118" t="str">
        <f ca="1">OFFSET(ORÇAMENTO!N$15,ROW(D89)-ROW(D$15),0)</f>
        <v>Serviço</v>
      </c>
      <c r="E89" s="119" t="str">
        <f ca="1">OFFSET(ORÇAMENTO!O$15,ROW(E89)-ROW(E$15),0)</f>
        <v>6.2.5.</v>
      </c>
      <c r="F89" s="172" t="str">
        <f ca="1">OFFSET(ORÇAMENTO!R$15,ROW(F89)-ROW(F$15),0)</f>
        <v>CAIXA DE PASSAGEM, EM PVC, DE 4" X 2", PARA ELETRODUTO FLEXIVEL CORRUGADO</v>
      </c>
      <c r="G89" s="173" t="str">
        <f ca="1">IF($D89&lt;&gt;"Serviço","",OFFSET(ORÇAMENTO!S$15,ROW(G89)-ROW(G$15),0))</f>
        <v>UN</v>
      </c>
      <c r="H89" s="124">
        <f ca="1">IF($D89&lt;&gt;"Serviço",0,IF(ACOMPANHAMENTO="BM",ROUND(OFFSET(ORÇAMENTO!AJ$15,ROW(H89)-ROW(H$15),0),15-13*ORÇAMENTO!$AF$7),SUMPRODUCT(($Q$12:$AA$12&lt;&gt;"")*ROUND($Q89:$AA89,15-13*ORÇAMENTO!$AF$7))))</f>
        <v>30</v>
      </c>
      <c r="I89" s="561"/>
      <c r="K89" s="174"/>
      <c r="L89" s="175" t="s">
        <v>255</v>
      </c>
      <c r="M89" s="176">
        <f ca="1">IF($D89&lt;&gt;"Serviço","",IF(AUTOEVENTO="manual",$A89,IF(ISERROR(MATCH($A89,$A$15:OFFSET($A89,-1,0),0)),MAX($M$15:OFFSET(M89,-1,0))+1,INDEX($M$15:OFFSET(M89,-1,0),MATCH($A89,$A$15:OFFSET($A89,-1,0),0)))))</f>
        <v>15</v>
      </c>
      <c r="N89" s="177" t="str">
        <f ca="1">IF($D89&lt;&gt;"Serviço","",IF(AUTOEVENTO="Manual",IF($A89=0,"&lt;-- defina o número do agrupador",OFFSET(EVENTOS!$D$14,$A89,0)),OFFSET($F$15,$A89,0)))</f>
        <v>INSTALAÇÕES ELÉTRICAS</v>
      </c>
      <c r="O89" s="178"/>
      <c r="Q89" s="178"/>
      <c r="R89" s="179"/>
      <c r="S89" s="179"/>
      <c r="T89" s="179"/>
      <c r="U89" s="179"/>
      <c r="V89" s="179"/>
      <c r="W89" s="179"/>
      <c r="X89" s="179"/>
      <c r="Y89" s="179"/>
      <c r="Z89" s="180"/>
      <c r="AB89" s="544">
        <f ca="1">IF(AND($D89="Serviço",AB$12&lt;&gt;0,$H89&gt;0,OR(AUTOEVENTO&lt;&gt;"manual",$M89&lt;&gt;1)),
IF(Import.TipoArredondamento&lt;&gt;"TransfereGOV",
ROUND(OFFSET($P89,0,AB$13),15-13*ORÇAMENTO!$AF$7)/$H89*OFFSET(ORÇAMENTO!$X$15,ROW(AB89)-ROW(AB$15),0),
ROUND(ROUND(OFFSET($P89,0,AB$13),15-13*ORÇAMENTO!$AF$7)*OFFSET(ORÇAMENTO!$W$15,ROW(AB89)-ROW(AB$15),0),15-13*ORÇAMENTO!$AF$11)),0)</f>
        <v>0</v>
      </c>
      <c r="AC89" s="545">
        <f ca="1">IF(AND($D89="Serviço",AC$12&lt;&gt;0,$H89&gt;0,OR(AUTOEVENTO&lt;&gt;"manual",$M89&lt;&gt;1)),
IF(Import.TipoArredondamento&lt;&gt;"TransfereGOV",
ROUND(OFFSET($P89,0,AC$13),15-13*ORÇAMENTO!$AF$7)/$H89*OFFSET(ORÇAMENTO!$X$15,ROW(AC89)-ROW(AC$15),0),
ROUND(ROUND(OFFSET($P89,0,AC$13),15-13*ORÇAMENTO!$AF$7)*OFFSET(ORÇAMENTO!$W$15,ROW(AC89)-ROW(AC$15),0),15-13*ORÇAMENTO!$AF$11)),0)</f>
        <v>0</v>
      </c>
      <c r="AD89" s="545">
        <f ca="1">IF(AND($D89="Serviço",AD$12&lt;&gt;0,$H89&gt;0,OR(AUTOEVENTO&lt;&gt;"manual",$M89&lt;&gt;1)),
IF(Import.TipoArredondamento&lt;&gt;"TransfereGOV",
ROUND(OFFSET($P89,0,AD$13),15-13*ORÇAMENTO!$AF$7)/$H89*OFFSET(ORÇAMENTO!$X$15,ROW(AD89)-ROW(AD$15),0),
ROUND(ROUND(OFFSET($P89,0,AD$13),15-13*ORÇAMENTO!$AF$7)*OFFSET(ORÇAMENTO!$W$15,ROW(AD89)-ROW(AD$15),0),15-13*ORÇAMENTO!$AF$11)),0)</f>
        <v>0</v>
      </c>
      <c r="AE89" s="545">
        <f ca="1">IF(AND($D89="Serviço",AE$12&lt;&gt;0,$H89&gt;0,OR(AUTOEVENTO&lt;&gt;"manual",$M89&lt;&gt;1)),
IF(Import.TipoArredondamento&lt;&gt;"TransfereGOV",
ROUND(OFFSET($P89,0,AE$13),15-13*ORÇAMENTO!$AF$7)/$H89*OFFSET(ORÇAMENTO!$X$15,ROW(AE89)-ROW(AE$15),0),
ROUND(ROUND(OFFSET($P89,0,AE$13),15-13*ORÇAMENTO!$AF$7)*OFFSET(ORÇAMENTO!$W$15,ROW(AE89)-ROW(AE$15),0),15-13*ORÇAMENTO!$AF$11)),0)</f>
        <v>0</v>
      </c>
      <c r="AF89" s="545">
        <f ca="1">IF(AND($D89="Serviço",AF$12&lt;&gt;0,$H89&gt;0,OR(AUTOEVENTO&lt;&gt;"manual",$M89&lt;&gt;1)),
IF(Import.TipoArredondamento&lt;&gt;"TransfereGOV",
ROUND(OFFSET($P89,0,AF$13),15-13*ORÇAMENTO!$AF$7)/$H89*OFFSET(ORÇAMENTO!$X$15,ROW(AF89)-ROW(AF$15),0),
ROUND(ROUND(OFFSET($P89,0,AF$13),15-13*ORÇAMENTO!$AF$7)*OFFSET(ORÇAMENTO!$W$15,ROW(AF89)-ROW(AF$15),0),15-13*ORÇAMENTO!$AF$11)),0)</f>
        <v>0</v>
      </c>
      <c r="AG89" s="545">
        <f ca="1">IF(AND($D89="Serviço",AG$12&lt;&gt;0,$H89&gt;0,OR(AUTOEVENTO&lt;&gt;"manual",$M89&lt;&gt;1)),
IF(Import.TipoArredondamento&lt;&gt;"TransfereGOV",
ROUND(OFFSET($P89,0,AG$13),15-13*ORÇAMENTO!$AF$7)/$H89*OFFSET(ORÇAMENTO!$X$15,ROW(AG89)-ROW(AG$15),0),
ROUND(ROUND(OFFSET($P89,0,AG$13),15-13*ORÇAMENTO!$AF$7)*OFFSET(ORÇAMENTO!$W$15,ROW(AG89)-ROW(AG$15),0),15-13*ORÇAMENTO!$AF$11)),0)</f>
        <v>0</v>
      </c>
      <c r="AH89" s="545">
        <f ca="1">IF(AND($D89="Serviço",AH$12&lt;&gt;0,$H89&gt;0,OR(AUTOEVENTO&lt;&gt;"manual",$M89&lt;&gt;1)),
IF(Import.TipoArredondamento&lt;&gt;"TransfereGOV",
ROUND(OFFSET($P89,0,AH$13),15-13*ORÇAMENTO!$AF$7)/$H89*OFFSET(ORÇAMENTO!$X$15,ROW(AH89)-ROW(AH$15),0),
ROUND(ROUND(OFFSET($P89,0,AH$13),15-13*ORÇAMENTO!$AF$7)*OFFSET(ORÇAMENTO!$W$15,ROW(AH89)-ROW(AH$15),0),15-13*ORÇAMENTO!$AF$11)),0)</f>
        <v>0</v>
      </c>
      <c r="AI89" s="545">
        <f ca="1">IF(AND($D89="Serviço",AI$12&lt;&gt;0,$H89&gt;0,OR(AUTOEVENTO&lt;&gt;"manual",$M89&lt;&gt;1)),
IF(Import.TipoArredondamento&lt;&gt;"TransfereGOV",
ROUND(OFFSET($P89,0,AI$13),15-13*ORÇAMENTO!$AF$7)/$H89*OFFSET(ORÇAMENTO!$X$15,ROW(AI89)-ROW(AI$15),0),
ROUND(ROUND(OFFSET($P89,0,AI$13),15-13*ORÇAMENTO!$AF$7)*OFFSET(ORÇAMENTO!$W$15,ROW(AI89)-ROW(AI$15),0),15-13*ORÇAMENTO!$AF$11)),0)</f>
        <v>0</v>
      </c>
      <c r="AJ89" s="545">
        <f ca="1">IF(AND($D89="Serviço",AJ$12&lt;&gt;0,$H89&gt;0,OR(AUTOEVENTO&lt;&gt;"manual",$M89&lt;&gt;1)),
IF(Import.TipoArredondamento&lt;&gt;"TransfereGOV",
ROUND(OFFSET($P89,0,AJ$13),15-13*ORÇAMENTO!$AF$7)/$H89*OFFSET(ORÇAMENTO!$X$15,ROW(AJ89)-ROW(AJ$15),0),
ROUND(ROUND(OFFSET($P89,0,AJ$13),15-13*ORÇAMENTO!$AF$7)*OFFSET(ORÇAMENTO!$W$15,ROW(AJ89)-ROW(AJ$15),0),15-13*ORÇAMENTO!$AF$11)),0)</f>
        <v>0</v>
      </c>
      <c r="AK89" s="546">
        <f ca="1">IF(AND($D89="Serviço",AK$12&lt;&gt;0,$H89&gt;0,OR(AUTOEVENTO&lt;&gt;"manual",$M89&lt;&gt;1)),
IF(Import.TipoArredondamento&lt;&gt;"TransfereGOV",
ROUND(OFFSET($P89,0,AK$13),15-13*ORÇAMENTO!$AF$7)/$H89*OFFSET(ORÇAMENTO!$X$15,ROW(AK89)-ROW(AK$15),0),
ROUND(ROUND(OFFSET($P89,0,AK$13),15-13*ORÇAMENTO!$AF$7)*OFFSET(ORÇAMENTO!$W$15,ROW(AK89)-ROW(AK$15),0),15-13*ORÇAMENTO!$AF$11)),0)</f>
        <v>0</v>
      </c>
      <c r="AM89" s="181">
        <f ca="1">IF($D89&lt;&gt;"Serviço",0,IF(AND(AUTOEVENTO="Manual",$M89=1),0,IF(OFFSET(CRONOPLE!$F$14,$M89,AM$13)="",10^12,OFFSET(CRONOPLE!$F$14,$M89,AM$13))))</f>
        <v>1000000000000</v>
      </c>
      <c r="AN89" s="181">
        <f ca="1">IF($D89&lt;&gt;"Serviço",0,IF(AND(AUTOEVENTO="Manual",$M89=1),0,IF(OFFSET(CRONOPLE!$F$14,$M89,AN$13)="",10^12,OFFSET(CRONOPLE!$F$14,$M89,AN$13))))</f>
        <v>1000000000000</v>
      </c>
      <c r="AO89" s="181">
        <f ca="1">IF($D89&lt;&gt;"Serviço",0,IF(AND(AUTOEVENTO="Manual",$M89=1),0,IF(OFFSET(CRONOPLE!$F$14,$M89,AO$13)="",10^12,OFFSET(CRONOPLE!$F$14,$M89,AO$13))))</f>
        <v>1000000000000</v>
      </c>
      <c r="AP89" s="181">
        <f ca="1">IF($D89&lt;&gt;"Serviço",0,IF(AND(AUTOEVENTO="Manual",$M89=1),0,IF(OFFSET(CRONOPLE!$F$14,$M89,AP$13)="",10^12,OFFSET(CRONOPLE!$F$14,$M89,AP$13))))</f>
        <v>1000000000000</v>
      </c>
      <c r="AQ89" s="181">
        <f ca="1">IF($D89&lt;&gt;"Serviço",0,IF(AND(AUTOEVENTO="Manual",$M89=1),0,IF(OFFSET(CRONOPLE!$F$14,$M89,AQ$13)="",10^12,OFFSET(CRONOPLE!$F$14,$M89,AQ$13))))</f>
        <v>1000000000000</v>
      </c>
      <c r="AR89" s="181">
        <f ca="1">IF($D89&lt;&gt;"Serviço",0,IF(AND(AUTOEVENTO="Manual",$M89=1),0,IF(OFFSET(CRONOPLE!$F$14,$M89,AR$13)="",10^12,OFFSET(CRONOPLE!$F$14,$M89,AR$13))))</f>
        <v>1000000000000</v>
      </c>
      <c r="AS89" s="181">
        <f ca="1">IF($D89&lt;&gt;"Serviço",0,IF(AND(AUTOEVENTO="Manual",$M89=1),0,IF(OFFSET(CRONOPLE!$F$14,$M89,AS$13)="",10^12,OFFSET(CRONOPLE!$F$14,$M89,AS$13))))</f>
        <v>1000000000000</v>
      </c>
      <c r="AT89" s="181">
        <f ca="1">IF($D89&lt;&gt;"Serviço",0,IF(AND(AUTOEVENTO="Manual",$M89=1),0,IF(OFFSET(CRONOPLE!$F$14,$M89,AT$13)="",10^12,OFFSET(CRONOPLE!$F$14,$M89,AT$13))))</f>
        <v>1000000000000</v>
      </c>
      <c r="AU89" s="181">
        <f ca="1">IF($D89&lt;&gt;"Serviço",0,IF(AND(AUTOEVENTO="Manual",$M89=1),0,IF(OFFSET(CRONOPLE!$F$14,$M89,AU$13)="",10^12,OFFSET(CRONOPLE!$F$14,$M89,AU$13))))</f>
        <v>1000000000000</v>
      </c>
      <c r="AV89" s="181">
        <f ca="1">IF($D89&lt;&gt;"Serviço",0,IF(AND(AUTOEVENTO="Manual",$M89=1),0,IF(OFFSET(CRONOPLE!$F$14,$M89,AV$13)="",10^12,OFFSET(CRONOPLE!$F$14,$M89,AV$13))))</f>
        <v>1000000000000</v>
      </c>
      <c r="AX89" s="182">
        <f ca="1">IF($D89&lt;&gt;"Serviço",0,IF(OR(AND(AUTOEVENTO="Manual",$M89=1),$M89&gt;(ROW(PLE.lastrow)-ROW(PLE.firstrow))),0,IF(OFFSET(PLE!$G$14,$M89,AX$13)="",10^12,OFFSET(PLE!$G$14,$M89,AX$13))))</f>
        <v>1000000000000</v>
      </c>
      <c r="AY89" s="182">
        <f ca="1">IF($D89&lt;&gt;"Serviço",0,IF(OR(AND(AUTOEVENTO="Manual",$M89=1),$M89&gt;(ROW(PLE.lastrow)-ROW(PLE.firstrow))),0,IF(OFFSET(PLE!$G$14,$M89,AY$13)="",10^12,OFFSET(PLE!$G$14,$M89,AY$13))))</f>
        <v>1000000000000</v>
      </c>
      <c r="AZ89" s="182">
        <f ca="1">IF($D89&lt;&gt;"Serviço",0,IF(OR(AND(AUTOEVENTO="Manual",$M89=1),$M89&gt;(ROW(PLE.lastrow)-ROW(PLE.firstrow))),0,IF(OFFSET(PLE!$G$14,$M89,AZ$13)="",10^12,OFFSET(PLE!$G$14,$M89,AZ$13))))</f>
        <v>1000000000000</v>
      </c>
      <c r="BA89" s="182">
        <f ca="1">IF($D89&lt;&gt;"Serviço",0,IF(OR(AND(AUTOEVENTO="Manual",$M89=1),$M89&gt;(ROW(PLE.lastrow)-ROW(PLE.firstrow))),0,IF(OFFSET(PLE!$G$14,$M89,BA$13)="",10^12,OFFSET(PLE!$G$14,$M89,BA$13))))</f>
        <v>1000000000000</v>
      </c>
      <c r="BB89" s="182">
        <f ca="1">IF($D89&lt;&gt;"Serviço",0,IF(OR(AND(AUTOEVENTO="Manual",$M89=1),$M89&gt;(ROW(PLE.lastrow)-ROW(PLE.firstrow))),0,IF(OFFSET(PLE!$G$14,$M89,BB$13)="",10^12,OFFSET(PLE!$G$14,$M89,BB$13))))</f>
        <v>1000000000000</v>
      </c>
      <c r="BC89" s="182">
        <f ca="1">IF($D89&lt;&gt;"Serviço",0,IF(OR(AND(AUTOEVENTO="Manual",$M89=1),$M89&gt;(ROW(PLE.lastrow)-ROW(PLE.firstrow))),0,IF(OFFSET(PLE!$G$14,$M89,BC$13)="",10^12,OFFSET(PLE!$G$14,$M89,BC$13))))</f>
        <v>1000000000000</v>
      </c>
      <c r="BD89" s="182">
        <f ca="1">IF($D89&lt;&gt;"Serviço",0,IF(OR(AND(AUTOEVENTO="Manual",$M89=1),$M89&gt;(ROW(PLE.lastrow)-ROW(PLE.firstrow))),0,IF(OFFSET(PLE!$G$14,$M89,BD$13)="",10^12,OFFSET(PLE!$G$14,$M89,BD$13))))</f>
        <v>1000000000000</v>
      </c>
      <c r="BE89" s="182">
        <f ca="1">IF($D89&lt;&gt;"Serviço",0,IF(OR(AND(AUTOEVENTO="Manual",$M89=1),$M89&gt;(ROW(PLE.lastrow)-ROW(PLE.firstrow))),0,IF(OFFSET(PLE!$G$14,$M89,BE$13)="",10^12,OFFSET(PLE!$G$14,$M89,BE$13))))</f>
        <v>1000000000000</v>
      </c>
      <c r="BF89" s="182">
        <f ca="1">IF($D89&lt;&gt;"Serviço",0,IF(OR(AND(AUTOEVENTO="Manual",$M89=1),$M89&gt;(ROW(PLE.lastrow)-ROW(PLE.firstrow))),0,IF(OFFSET(PLE!$G$14,$M89,BF$13)="",10^12,OFFSET(PLE!$G$14,$M89,BF$13))))</f>
        <v>1000000000000</v>
      </c>
      <c r="BG89" s="182">
        <f ca="1">IF($D89&lt;&gt;"Serviço",0,IF(OR(AND(AUTOEVENTO="Manual",$M89=1),$M89&gt;(ROW(PLE.lastrow)-ROW(PLE.firstrow))),0,IF(OFFSET(PLE!$G$14,$M89,BG$13)="",10^12,OFFSET(PLE!$G$14,$M89,BG$13))))</f>
        <v>1000000000000</v>
      </c>
    </row>
    <row r="90" spans="1:59" ht="25.5" x14ac:dyDescent="0.2">
      <c r="A90" s="7" t="str">
        <f t="shared" ca="1" si="8"/>
        <v>69</v>
      </c>
      <c r="B90" s="7" t="str">
        <f ca="1">OFFSET(ORÇAMENTO!C$15,ROW(B90)-ROW(B$15),0)</f>
        <v>S</v>
      </c>
      <c r="C90" s="7" t="str">
        <f ca="1">OFFSET(ORÇAMENTO!L$15,ROW(C90)-ROW(C$15),0)</f>
        <v>F</v>
      </c>
      <c r="D90" s="118" t="str">
        <f ca="1">OFFSET(ORÇAMENTO!N$15,ROW(D90)-ROW(D$15),0)</f>
        <v>Serviço</v>
      </c>
      <c r="E90" s="119" t="str">
        <f ca="1">OFFSET(ORÇAMENTO!O$15,ROW(E90)-ROW(E$15),0)</f>
        <v>6.2.6.</v>
      </c>
      <c r="F90" s="172" t="str">
        <f ca="1">OFFSET(ORÇAMENTO!R$15,ROW(F90)-ROW(F$15),0)</f>
        <v>LUMINÁRIA TIPO PLAFON CIRCULAR, DE SOBREPOR, COM LED DE 12/13 W - FORNECIMENTO E INSTALAÇÃO. AF_09/2024</v>
      </c>
      <c r="G90" s="173" t="str">
        <f ca="1">IF($D90&lt;&gt;"Serviço","",OFFSET(ORÇAMENTO!S$15,ROW(G90)-ROW(G$15),0))</f>
        <v>UN</v>
      </c>
      <c r="H90" s="124">
        <f ca="1">IF($D90&lt;&gt;"Serviço",0,IF(ACOMPANHAMENTO="BM",ROUND(OFFSET(ORÇAMENTO!AJ$15,ROW(H90)-ROW(H$15),0),15-13*ORÇAMENTO!$AF$7),SUMPRODUCT(($Q$12:$AA$12&lt;&gt;"")*ROUND($Q90:$AA90,15-13*ORÇAMENTO!$AF$7))))</f>
        <v>20</v>
      </c>
      <c r="I90" s="561"/>
      <c r="K90" s="174"/>
      <c r="L90" s="175" t="s">
        <v>255</v>
      </c>
      <c r="M90" s="176">
        <f ca="1">IF($D90&lt;&gt;"Serviço","",IF(AUTOEVENTO="manual",$A90,IF(ISERROR(MATCH($A90,$A$15:OFFSET($A90,-1,0),0)),MAX($M$15:OFFSET(M90,-1,0))+1,INDEX($M$15:OFFSET(M90,-1,0),MATCH($A90,$A$15:OFFSET($A90,-1,0),0)))))</f>
        <v>15</v>
      </c>
      <c r="N90" s="177" t="str">
        <f ca="1">IF($D90&lt;&gt;"Serviço","",IF(AUTOEVENTO="Manual",IF($A90=0,"&lt;-- defina o número do agrupador",OFFSET(EVENTOS!$D$14,$A90,0)),OFFSET($F$15,$A90,0)))</f>
        <v>INSTALAÇÕES ELÉTRICAS</v>
      </c>
      <c r="O90" s="178"/>
      <c r="Q90" s="178"/>
      <c r="R90" s="179"/>
      <c r="S90" s="179"/>
      <c r="T90" s="179"/>
      <c r="U90" s="179"/>
      <c r="V90" s="179"/>
      <c r="W90" s="179"/>
      <c r="X90" s="179"/>
      <c r="Y90" s="179"/>
      <c r="Z90" s="180"/>
      <c r="AB90" s="544">
        <f ca="1">IF(AND($D90="Serviço",AB$12&lt;&gt;0,$H90&gt;0,OR(AUTOEVENTO&lt;&gt;"manual",$M90&lt;&gt;1)),
IF(Import.TipoArredondamento&lt;&gt;"TransfereGOV",
ROUND(OFFSET($P90,0,AB$13),15-13*ORÇAMENTO!$AF$7)/$H90*OFFSET(ORÇAMENTO!$X$15,ROW(AB90)-ROW(AB$15),0),
ROUND(ROUND(OFFSET($P90,0,AB$13),15-13*ORÇAMENTO!$AF$7)*OFFSET(ORÇAMENTO!$W$15,ROW(AB90)-ROW(AB$15),0),15-13*ORÇAMENTO!$AF$11)),0)</f>
        <v>0</v>
      </c>
      <c r="AC90" s="545">
        <f ca="1">IF(AND($D90="Serviço",AC$12&lt;&gt;0,$H90&gt;0,OR(AUTOEVENTO&lt;&gt;"manual",$M90&lt;&gt;1)),
IF(Import.TipoArredondamento&lt;&gt;"TransfereGOV",
ROUND(OFFSET($P90,0,AC$13),15-13*ORÇAMENTO!$AF$7)/$H90*OFFSET(ORÇAMENTO!$X$15,ROW(AC90)-ROW(AC$15),0),
ROUND(ROUND(OFFSET($P90,0,AC$13),15-13*ORÇAMENTO!$AF$7)*OFFSET(ORÇAMENTO!$W$15,ROW(AC90)-ROW(AC$15),0),15-13*ORÇAMENTO!$AF$11)),0)</f>
        <v>0</v>
      </c>
      <c r="AD90" s="545">
        <f ca="1">IF(AND($D90="Serviço",AD$12&lt;&gt;0,$H90&gt;0,OR(AUTOEVENTO&lt;&gt;"manual",$M90&lt;&gt;1)),
IF(Import.TipoArredondamento&lt;&gt;"TransfereGOV",
ROUND(OFFSET($P90,0,AD$13),15-13*ORÇAMENTO!$AF$7)/$H90*OFFSET(ORÇAMENTO!$X$15,ROW(AD90)-ROW(AD$15),0),
ROUND(ROUND(OFFSET($P90,0,AD$13),15-13*ORÇAMENTO!$AF$7)*OFFSET(ORÇAMENTO!$W$15,ROW(AD90)-ROW(AD$15),0),15-13*ORÇAMENTO!$AF$11)),0)</f>
        <v>0</v>
      </c>
      <c r="AE90" s="545">
        <f ca="1">IF(AND($D90="Serviço",AE$12&lt;&gt;0,$H90&gt;0,OR(AUTOEVENTO&lt;&gt;"manual",$M90&lt;&gt;1)),
IF(Import.TipoArredondamento&lt;&gt;"TransfereGOV",
ROUND(OFFSET($P90,0,AE$13),15-13*ORÇAMENTO!$AF$7)/$H90*OFFSET(ORÇAMENTO!$X$15,ROW(AE90)-ROW(AE$15),0),
ROUND(ROUND(OFFSET($P90,0,AE$13),15-13*ORÇAMENTO!$AF$7)*OFFSET(ORÇAMENTO!$W$15,ROW(AE90)-ROW(AE$15),0),15-13*ORÇAMENTO!$AF$11)),0)</f>
        <v>0</v>
      </c>
      <c r="AF90" s="545">
        <f ca="1">IF(AND($D90="Serviço",AF$12&lt;&gt;0,$H90&gt;0,OR(AUTOEVENTO&lt;&gt;"manual",$M90&lt;&gt;1)),
IF(Import.TipoArredondamento&lt;&gt;"TransfereGOV",
ROUND(OFFSET($P90,0,AF$13),15-13*ORÇAMENTO!$AF$7)/$H90*OFFSET(ORÇAMENTO!$X$15,ROW(AF90)-ROW(AF$15),0),
ROUND(ROUND(OFFSET($P90,0,AF$13),15-13*ORÇAMENTO!$AF$7)*OFFSET(ORÇAMENTO!$W$15,ROW(AF90)-ROW(AF$15),0),15-13*ORÇAMENTO!$AF$11)),0)</f>
        <v>0</v>
      </c>
      <c r="AG90" s="545">
        <f ca="1">IF(AND($D90="Serviço",AG$12&lt;&gt;0,$H90&gt;0,OR(AUTOEVENTO&lt;&gt;"manual",$M90&lt;&gt;1)),
IF(Import.TipoArredondamento&lt;&gt;"TransfereGOV",
ROUND(OFFSET($P90,0,AG$13),15-13*ORÇAMENTO!$AF$7)/$H90*OFFSET(ORÇAMENTO!$X$15,ROW(AG90)-ROW(AG$15),0),
ROUND(ROUND(OFFSET($P90,0,AG$13),15-13*ORÇAMENTO!$AF$7)*OFFSET(ORÇAMENTO!$W$15,ROW(AG90)-ROW(AG$15),0),15-13*ORÇAMENTO!$AF$11)),0)</f>
        <v>0</v>
      </c>
      <c r="AH90" s="545">
        <f ca="1">IF(AND($D90="Serviço",AH$12&lt;&gt;0,$H90&gt;0,OR(AUTOEVENTO&lt;&gt;"manual",$M90&lt;&gt;1)),
IF(Import.TipoArredondamento&lt;&gt;"TransfereGOV",
ROUND(OFFSET($P90,0,AH$13),15-13*ORÇAMENTO!$AF$7)/$H90*OFFSET(ORÇAMENTO!$X$15,ROW(AH90)-ROW(AH$15),0),
ROUND(ROUND(OFFSET($P90,0,AH$13),15-13*ORÇAMENTO!$AF$7)*OFFSET(ORÇAMENTO!$W$15,ROW(AH90)-ROW(AH$15),0),15-13*ORÇAMENTO!$AF$11)),0)</f>
        <v>0</v>
      </c>
      <c r="AI90" s="545">
        <f ca="1">IF(AND($D90="Serviço",AI$12&lt;&gt;0,$H90&gt;0,OR(AUTOEVENTO&lt;&gt;"manual",$M90&lt;&gt;1)),
IF(Import.TipoArredondamento&lt;&gt;"TransfereGOV",
ROUND(OFFSET($P90,0,AI$13),15-13*ORÇAMENTO!$AF$7)/$H90*OFFSET(ORÇAMENTO!$X$15,ROW(AI90)-ROW(AI$15),0),
ROUND(ROUND(OFFSET($P90,0,AI$13),15-13*ORÇAMENTO!$AF$7)*OFFSET(ORÇAMENTO!$W$15,ROW(AI90)-ROW(AI$15),0),15-13*ORÇAMENTO!$AF$11)),0)</f>
        <v>0</v>
      </c>
      <c r="AJ90" s="545">
        <f ca="1">IF(AND($D90="Serviço",AJ$12&lt;&gt;0,$H90&gt;0,OR(AUTOEVENTO&lt;&gt;"manual",$M90&lt;&gt;1)),
IF(Import.TipoArredondamento&lt;&gt;"TransfereGOV",
ROUND(OFFSET($P90,0,AJ$13),15-13*ORÇAMENTO!$AF$7)/$H90*OFFSET(ORÇAMENTO!$X$15,ROW(AJ90)-ROW(AJ$15),0),
ROUND(ROUND(OFFSET($P90,0,AJ$13),15-13*ORÇAMENTO!$AF$7)*OFFSET(ORÇAMENTO!$W$15,ROW(AJ90)-ROW(AJ$15),0),15-13*ORÇAMENTO!$AF$11)),0)</f>
        <v>0</v>
      </c>
      <c r="AK90" s="546">
        <f ca="1">IF(AND($D90="Serviço",AK$12&lt;&gt;0,$H90&gt;0,OR(AUTOEVENTO&lt;&gt;"manual",$M90&lt;&gt;1)),
IF(Import.TipoArredondamento&lt;&gt;"TransfereGOV",
ROUND(OFFSET($P90,0,AK$13),15-13*ORÇAMENTO!$AF$7)/$H90*OFFSET(ORÇAMENTO!$X$15,ROW(AK90)-ROW(AK$15),0),
ROUND(ROUND(OFFSET($P90,0,AK$13),15-13*ORÇAMENTO!$AF$7)*OFFSET(ORÇAMENTO!$W$15,ROW(AK90)-ROW(AK$15),0),15-13*ORÇAMENTO!$AF$11)),0)</f>
        <v>0</v>
      </c>
      <c r="AM90" s="181">
        <f ca="1">IF($D90&lt;&gt;"Serviço",0,IF(AND(AUTOEVENTO="Manual",$M90=1),0,IF(OFFSET(CRONOPLE!$F$14,$M90,AM$13)="",10^12,OFFSET(CRONOPLE!$F$14,$M90,AM$13))))</f>
        <v>1000000000000</v>
      </c>
      <c r="AN90" s="181">
        <f ca="1">IF($D90&lt;&gt;"Serviço",0,IF(AND(AUTOEVENTO="Manual",$M90=1),0,IF(OFFSET(CRONOPLE!$F$14,$M90,AN$13)="",10^12,OFFSET(CRONOPLE!$F$14,$M90,AN$13))))</f>
        <v>1000000000000</v>
      </c>
      <c r="AO90" s="181">
        <f ca="1">IF($D90&lt;&gt;"Serviço",0,IF(AND(AUTOEVENTO="Manual",$M90=1),0,IF(OFFSET(CRONOPLE!$F$14,$M90,AO$13)="",10^12,OFFSET(CRONOPLE!$F$14,$M90,AO$13))))</f>
        <v>1000000000000</v>
      </c>
      <c r="AP90" s="181">
        <f ca="1">IF($D90&lt;&gt;"Serviço",0,IF(AND(AUTOEVENTO="Manual",$M90=1),0,IF(OFFSET(CRONOPLE!$F$14,$M90,AP$13)="",10^12,OFFSET(CRONOPLE!$F$14,$M90,AP$13))))</f>
        <v>1000000000000</v>
      </c>
      <c r="AQ90" s="181">
        <f ca="1">IF($D90&lt;&gt;"Serviço",0,IF(AND(AUTOEVENTO="Manual",$M90=1),0,IF(OFFSET(CRONOPLE!$F$14,$M90,AQ$13)="",10^12,OFFSET(CRONOPLE!$F$14,$M90,AQ$13))))</f>
        <v>1000000000000</v>
      </c>
      <c r="AR90" s="181">
        <f ca="1">IF($D90&lt;&gt;"Serviço",0,IF(AND(AUTOEVENTO="Manual",$M90=1),0,IF(OFFSET(CRONOPLE!$F$14,$M90,AR$13)="",10^12,OFFSET(CRONOPLE!$F$14,$M90,AR$13))))</f>
        <v>1000000000000</v>
      </c>
      <c r="AS90" s="181">
        <f ca="1">IF($D90&lt;&gt;"Serviço",0,IF(AND(AUTOEVENTO="Manual",$M90=1),0,IF(OFFSET(CRONOPLE!$F$14,$M90,AS$13)="",10^12,OFFSET(CRONOPLE!$F$14,$M90,AS$13))))</f>
        <v>1000000000000</v>
      </c>
      <c r="AT90" s="181">
        <f ca="1">IF($D90&lt;&gt;"Serviço",0,IF(AND(AUTOEVENTO="Manual",$M90=1),0,IF(OFFSET(CRONOPLE!$F$14,$M90,AT$13)="",10^12,OFFSET(CRONOPLE!$F$14,$M90,AT$13))))</f>
        <v>1000000000000</v>
      </c>
      <c r="AU90" s="181">
        <f ca="1">IF($D90&lt;&gt;"Serviço",0,IF(AND(AUTOEVENTO="Manual",$M90=1),0,IF(OFFSET(CRONOPLE!$F$14,$M90,AU$13)="",10^12,OFFSET(CRONOPLE!$F$14,$M90,AU$13))))</f>
        <v>1000000000000</v>
      </c>
      <c r="AV90" s="181">
        <f ca="1">IF($D90&lt;&gt;"Serviço",0,IF(AND(AUTOEVENTO="Manual",$M90=1),0,IF(OFFSET(CRONOPLE!$F$14,$M90,AV$13)="",10^12,OFFSET(CRONOPLE!$F$14,$M90,AV$13))))</f>
        <v>1000000000000</v>
      </c>
      <c r="AX90" s="182">
        <f ca="1">IF($D90&lt;&gt;"Serviço",0,IF(OR(AND(AUTOEVENTO="Manual",$M90=1),$M90&gt;(ROW(PLE.lastrow)-ROW(PLE.firstrow))),0,IF(OFFSET(PLE!$G$14,$M90,AX$13)="",10^12,OFFSET(PLE!$G$14,$M90,AX$13))))</f>
        <v>1000000000000</v>
      </c>
      <c r="AY90" s="182">
        <f ca="1">IF($D90&lt;&gt;"Serviço",0,IF(OR(AND(AUTOEVENTO="Manual",$M90=1),$M90&gt;(ROW(PLE.lastrow)-ROW(PLE.firstrow))),0,IF(OFFSET(PLE!$G$14,$M90,AY$13)="",10^12,OFFSET(PLE!$G$14,$M90,AY$13))))</f>
        <v>1000000000000</v>
      </c>
      <c r="AZ90" s="182">
        <f ca="1">IF($D90&lt;&gt;"Serviço",0,IF(OR(AND(AUTOEVENTO="Manual",$M90=1),$M90&gt;(ROW(PLE.lastrow)-ROW(PLE.firstrow))),0,IF(OFFSET(PLE!$G$14,$M90,AZ$13)="",10^12,OFFSET(PLE!$G$14,$M90,AZ$13))))</f>
        <v>1000000000000</v>
      </c>
      <c r="BA90" s="182">
        <f ca="1">IF($D90&lt;&gt;"Serviço",0,IF(OR(AND(AUTOEVENTO="Manual",$M90=1),$M90&gt;(ROW(PLE.lastrow)-ROW(PLE.firstrow))),0,IF(OFFSET(PLE!$G$14,$M90,BA$13)="",10^12,OFFSET(PLE!$G$14,$M90,BA$13))))</f>
        <v>1000000000000</v>
      </c>
      <c r="BB90" s="182">
        <f ca="1">IF($D90&lt;&gt;"Serviço",0,IF(OR(AND(AUTOEVENTO="Manual",$M90=1),$M90&gt;(ROW(PLE.lastrow)-ROW(PLE.firstrow))),0,IF(OFFSET(PLE!$G$14,$M90,BB$13)="",10^12,OFFSET(PLE!$G$14,$M90,BB$13))))</f>
        <v>1000000000000</v>
      </c>
      <c r="BC90" s="182">
        <f ca="1">IF($D90&lt;&gt;"Serviço",0,IF(OR(AND(AUTOEVENTO="Manual",$M90=1),$M90&gt;(ROW(PLE.lastrow)-ROW(PLE.firstrow))),0,IF(OFFSET(PLE!$G$14,$M90,BC$13)="",10^12,OFFSET(PLE!$G$14,$M90,BC$13))))</f>
        <v>1000000000000</v>
      </c>
      <c r="BD90" s="182">
        <f ca="1">IF($D90&lt;&gt;"Serviço",0,IF(OR(AND(AUTOEVENTO="Manual",$M90=1),$M90&gt;(ROW(PLE.lastrow)-ROW(PLE.firstrow))),0,IF(OFFSET(PLE!$G$14,$M90,BD$13)="",10^12,OFFSET(PLE!$G$14,$M90,BD$13))))</f>
        <v>1000000000000</v>
      </c>
      <c r="BE90" s="182">
        <f ca="1">IF($D90&lt;&gt;"Serviço",0,IF(OR(AND(AUTOEVENTO="Manual",$M90=1),$M90&gt;(ROW(PLE.lastrow)-ROW(PLE.firstrow))),0,IF(OFFSET(PLE!$G$14,$M90,BE$13)="",10^12,OFFSET(PLE!$G$14,$M90,BE$13))))</f>
        <v>1000000000000</v>
      </c>
      <c r="BF90" s="182">
        <f ca="1">IF($D90&lt;&gt;"Serviço",0,IF(OR(AND(AUTOEVENTO="Manual",$M90=1),$M90&gt;(ROW(PLE.lastrow)-ROW(PLE.firstrow))),0,IF(OFFSET(PLE!$G$14,$M90,BF$13)="",10^12,OFFSET(PLE!$G$14,$M90,BF$13))))</f>
        <v>1000000000000</v>
      </c>
      <c r="BG90" s="182">
        <f ca="1">IF($D90&lt;&gt;"Serviço",0,IF(OR(AND(AUTOEVENTO="Manual",$M90=1),$M90&gt;(ROW(PLE.lastrow)-ROW(PLE.firstrow))),0,IF(OFFSET(PLE!$G$14,$M90,BG$13)="",10^12,OFFSET(PLE!$G$14,$M90,BG$13))))</f>
        <v>1000000000000</v>
      </c>
    </row>
    <row r="91" spans="1:59" ht="12.75" x14ac:dyDescent="0.2">
      <c r="A91" s="7" t="str">
        <f ca="1">IF(AUTOEVENTO="Manual",IF(K91&lt;&gt;"",MIN(VALUE(LEFT(K91,FIND(".",K91)-1)),COUNTA(EVENTOS.Lista)),0),IF(OR($B91&gt;AUTOEVENTO,$B91="S",$B91=0),SUBSTITUTE(OFFSET($A91,-1,0),IF($D91="Serviço",".",""),""),ROW(A91)-ROW($A$15)&amp;"."))</f>
        <v>69</v>
      </c>
      <c r="B91" s="7" t="str">
        <f ca="1">OFFSET(ORÇAMENTO!C$15,ROW(B91)-ROW(B$15),0)</f>
        <v>S</v>
      </c>
      <c r="C91" s="7" t="str">
        <f ca="1">OFFSET(ORÇAMENTO!L$15,ROW(C91)-ROW(C$15),0)</f>
        <v>F</v>
      </c>
      <c r="D91" s="118" t="str">
        <f ca="1">OFFSET(ORÇAMENTO!N$15,ROW(D91)-ROW(D$15),0)</f>
        <v>Serviço</v>
      </c>
      <c r="E91" s="119" t="str">
        <f ca="1">OFFSET(ORÇAMENTO!O$15,ROW(E91)-ROW(E$15),0)</f>
        <v>6.2.7.</v>
      </c>
      <c r="F91" s="172" t="str">
        <f ca="1">OFFSET(ORÇAMENTO!R$15,ROW(F91)-ROW(F$15),0)</f>
        <v>LUMINARIA LED REFLETOR RETANGULAR BIVOLT, LUZ BRANCA, 50 W</v>
      </c>
      <c r="G91" s="173" t="str">
        <f ca="1">IF($D91&lt;&gt;"Serviço","",OFFSET(ORÇAMENTO!S$15,ROW(G91)-ROW(G$15),0))</f>
        <v>UN</v>
      </c>
      <c r="H91" s="124">
        <f ca="1">IF($D91&lt;&gt;"Serviço",0,IF(ACOMPANHAMENTO="BM",ROUND(OFFSET(ORÇAMENTO!AJ$15,ROW(H91)-ROW(H$15),0),15-13*ORÇAMENTO!$AF$7),SUMPRODUCT(($Q$12:$AA$12&lt;&gt;"")*ROUND($Q91:$AA91,15-13*ORÇAMENTO!$AF$7))))</f>
        <v>12</v>
      </c>
      <c r="I91" s="561"/>
      <c r="K91" s="174"/>
      <c r="L91" s="175" t="s">
        <v>255</v>
      </c>
      <c r="M91" s="176">
        <f ca="1">IF($D91&lt;&gt;"Serviço","",IF(AUTOEVENTO="manual",$A91,IF(ISERROR(MATCH($A91,$A$15:OFFSET($A91,-1,0),0)),MAX($M$15:OFFSET(M91,-1,0))+1,INDEX($M$15:OFFSET(M91,-1,0),MATCH($A91,$A$15:OFFSET($A91,-1,0),0)))))</f>
        <v>15</v>
      </c>
      <c r="N91" s="177" t="str">
        <f ca="1">IF($D91&lt;&gt;"Serviço","",IF(AUTOEVENTO="Manual",IF($A91=0,"&lt;-- defina o número do agrupador",OFFSET(EVENTOS!$D$14,$A91,0)),OFFSET($F$15,$A91,0)))</f>
        <v>INSTALAÇÕES ELÉTRICAS</v>
      </c>
      <c r="O91" s="178"/>
      <c r="Q91" s="178"/>
      <c r="R91" s="179"/>
      <c r="S91" s="179"/>
      <c r="T91" s="179"/>
      <c r="U91" s="179"/>
      <c r="V91" s="179"/>
      <c r="W91" s="179"/>
      <c r="X91" s="179"/>
      <c r="Y91" s="179"/>
      <c r="Z91" s="180"/>
      <c r="AB91" s="544">
        <f ca="1">IF(AND($D91="Serviço",AB$12&lt;&gt;0,$H91&gt;0,OR(AUTOEVENTO&lt;&gt;"manual",$M91&lt;&gt;1)),
IF(Import.TipoArredondamento&lt;&gt;"TransfereGOV",
ROUND(OFFSET($P91,0,AB$13),15-13*ORÇAMENTO!$AF$7)/$H91*OFFSET(ORÇAMENTO!$X$15,ROW(AB91)-ROW(AB$15),0),
ROUND(ROUND(OFFSET($P91,0,AB$13),15-13*ORÇAMENTO!$AF$7)*OFFSET(ORÇAMENTO!$W$15,ROW(AB91)-ROW(AB$15),0),15-13*ORÇAMENTO!$AF$11)),0)</f>
        <v>0</v>
      </c>
      <c r="AC91" s="545">
        <f ca="1">IF(AND($D91="Serviço",AC$12&lt;&gt;0,$H91&gt;0,OR(AUTOEVENTO&lt;&gt;"manual",$M91&lt;&gt;1)),
IF(Import.TipoArredondamento&lt;&gt;"TransfereGOV",
ROUND(OFFSET($P91,0,AC$13),15-13*ORÇAMENTO!$AF$7)/$H91*OFFSET(ORÇAMENTO!$X$15,ROW(AC91)-ROW(AC$15),0),
ROUND(ROUND(OFFSET($P91,0,AC$13),15-13*ORÇAMENTO!$AF$7)*OFFSET(ORÇAMENTO!$W$15,ROW(AC91)-ROW(AC$15),0),15-13*ORÇAMENTO!$AF$11)),0)</f>
        <v>0</v>
      </c>
      <c r="AD91" s="545">
        <f ca="1">IF(AND($D91="Serviço",AD$12&lt;&gt;0,$H91&gt;0,OR(AUTOEVENTO&lt;&gt;"manual",$M91&lt;&gt;1)),
IF(Import.TipoArredondamento&lt;&gt;"TransfereGOV",
ROUND(OFFSET($P91,0,AD$13),15-13*ORÇAMENTO!$AF$7)/$H91*OFFSET(ORÇAMENTO!$X$15,ROW(AD91)-ROW(AD$15),0),
ROUND(ROUND(OFFSET($P91,0,AD$13),15-13*ORÇAMENTO!$AF$7)*OFFSET(ORÇAMENTO!$W$15,ROW(AD91)-ROW(AD$15),0),15-13*ORÇAMENTO!$AF$11)),0)</f>
        <v>0</v>
      </c>
      <c r="AE91" s="545">
        <f ca="1">IF(AND($D91="Serviço",AE$12&lt;&gt;0,$H91&gt;0,OR(AUTOEVENTO&lt;&gt;"manual",$M91&lt;&gt;1)),
IF(Import.TipoArredondamento&lt;&gt;"TransfereGOV",
ROUND(OFFSET($P91,0,AE$13),15-13*ORÇAMENTO!$AF$7)/$H91*OFFSET(ORÇAMENTO!$X$15,ROW(AE91)-ROW(AE$15),0),
ROUND(ROUND(OFFSET($P91,0,AE$13),15-13*ORÇAMENTO!$AF$7)*OFFSET(ORÇAMENTO!$W$15,ROW(AE91)-ROW(AE$15),0),15-13*ORÇAMENTO!$AF$11)),0)</f>
        <v>0</v>
      </c>
      <c r="AF91" s="545">
        <f ca="1">IF(AND($D91="Serviço",AF$12&lt;&gt;0,$H91&gt;0,OR(AUTOEVENTO&lt;&gt;"manual",$M91&lt;&gt;1)),
IF(Import.TipoArredondamento&lt;&gt;"TransfereGOV",
ROUND(OFFSET($P91,0,AF$13),15-13*ORÇAMENTO!$AF$7)/$H91*OFFSET(ORÇAMENTO!$X$15,ROW(AF91)-ROW(AF$15),0),
ROUND(ROUND(OFFSET($P91,0,AF$13),15-13*ORÇAMENTO!$AF$7)*OFFSET(ORÇAMENTO!$W$15,ROW(AF91)-ROW(AF$15),0),15-13*ORÇAMENTO!$AF$11)),0)</f>
        <v>0</v>
      </c>
      <c r="AG91" s="545">
        <f ca="1">IF(AND($D91="Serviço",AG$12&lt;&gt;0,$H91&gt;0,OR(AUTOEVENTO&lt;&gt;"manual",$M91&lt;&gt;1)),
IF(Import.TipoArredondamento&lt;&gt;"TransfereGOV",
ROUND(OFFSET($P91,0,AG$13),15-13*ORÇAMENTO!$AF$7)/$H91*OFFSET(ORÇAMENTO!$X$15,ROW(AG91)-ROW(AG$15),0),
ROUND(ROUND(OFFSET($P91,0,AG$13),15-13*ORÇAMENTO!$AF$7)*OFFSET(ORÇAMENTO!$W$15,ROW(AG91)-ROW(AG$15),0),15-13*ORÇAMENTO!$AF$11)),0)</f>
        <v>0</v>
      </c>
      <c r="AH91" s="545">
        <f ca="1">IF(AND($D91="Serviço",AH$12&lt;&gt;0,$H91&gt;0,OR(AUTOEVENTO&lt;&gt;"manual",$M91&lt;&gt;1)),
IF(Import.TipoArredondamento&lt;&gt;"TransfereGOV",
ROUND(OFFSET($P91,0,AH$13),15-13*ORÇAMENTO!$AF$7)/$H91*OFFSET(ORÇAMENTO!$X$15,ROW(AH91)-ROW(AH$15),0),
ROUND(ROUND(OFFSET($P91,0,AH$13),15-13*ORÇAMENTO!$AF$7)*OFFSET(ORÇAMENTO!$W$15,ROW(AH91)-ROW(AH$15),0),15-13*ORÇAMENTO!$AF$11)),0)</f>
        <v>0</v>
      </c>
      <c r="AI91" s="545">
        <f ca="1">IF(AND($D91="Serviço",AI$12&lt;&gt;0,$H91&gt;0,OR(AUTOEVENTO&lt;&gt;"manual",$M91&lt;&gt;1)),
IF(Import.TipoArredondamento&lt;&gt;"TransfereGOV",
ROUND(OFFSET($P91,0,AI$13),15-13*ORÇAMENTO!$AF$7)/$H91*OFFSET(ORÇAMENTO!$X$15,ROW(AI91)-ROW(AI$15),0),
ROUND(ROUND(OFFSET($P91,0,AI$13),15-13*ORÇAMENTO!$AF$7)*OFFSET(ORÇAMENTO!$W$15,ROW(AI91)-ROW(AI$15),0),15-13*ORÇAMENTO!$AF$11)),0)</f>
        <v>0</v>
      </c>
      <c r="AJ91" s="545">
        <f ca="1">IF(AND($D91="Serviço",AJ$12&lt;&gt;0,$H91&gt;0,OR(AUTOEVENTO&lt;&gt;"manual",$M91&lt;&gt;1)),
IF(Import.TipoArredondamento&lt;&gt;"TransfereGOV",
ROUND(OFFSET($P91,0,AJ$13),15-13*ORÇAMENTO!$AF$7)/$H91*OFFSET(ORÇAMENTO!$X$15,ROW(AJ91)-ROW(AJ$15),0),
ROUND(ROUND(OFFSET($P91,0,AJ$13),15-13*ORÇAMENTO!$AF$7)*OFFSET(ORÇAMENTO!$W$15,ROW(AJ91)-ROW(AJ$15),0),15-13*ORÇAMENTO!$AF$11)),0)</f>
        <v>0</v>
      </c>
      <c r="AK91" s="546">
        <f ca="1">IF(AND($D91="Serviço",AK$12&lt;&gt;0,$H91&gt;0,OR(AUTOEVENTO&lt;&gt;"manual",$M91&lt;&gt;1)),
IF(Import.TipoArredondamento&lt;&gt;"TransfereGOV",
ROUND(OFFSET($P91,0,AK$13),15-13*ORÇAMENTO!$AF$7)/$H91*OFFSET(ORÇAMENTO!$X$15,ROW(AK91)-ROW(AK$15),0),
ROUND(ROUND(OFFSET($P91,0,AK$13),15-13*ORÇAMENTO!$AF$7)*OFFSET(ORÇAMENTO!$W$15,ROW(AK91)-ROW(AK$15),0),15-13*ORÇAMENTO!$AF$11)),0)</f>
        <v>0</v>
      </c>
      <c r="AM91" s="181">
        <f ca="1">IF($D91&lt;&gt;"Serviço",0,IF(AND(AUTOEVENTO="Manual",$M91=1),0,IF(OFFSET(CRONOPLE!$F$14,$M91,AM$13)="",10^12,OFFSET(CRONOPLE!$F$14,$M91,AM$13))))</f>
        <v>1000000000000</v>
      </c>
      <c r="AN91" s="181">
        <f ca="1">IF($D91&lt;&gt;"Serviço",0,IF(AND(AUTOEVENTO="Manual",$M91=1),0,IF(OFFSET(CRONOPLE!$F$14,$M91,AN$13)="",10^12,OFFSET(CRONOPLE!$F$14,$M91,AN$13))))</f>
        <v>1000000000000</v>
      </c>
      <c r="AO91" s="181">
        <f ca="1">IF($D91&lt;&gt;"Serviço",0,IF(AND(AUTOEVENTO="Manual",$M91=1),0,IF(OFFSET(CRONOPLE!$F$14,$M91,AO$13)="",10^12,OFFSET(CRONOPLE!$F$14,$M91,AO$13))))</f>
        <v>1000000000000</v>
      </c>
      <c r="AP91" s="181">
        <f ca="1">IF($D91&lt;&gt;"Serviço",0,IF(AND(AUTOEVENTO="Manual",$M91=1),0,IF(OFFSET(CRONOPLE!$F$14,$M91,AP$13)="",10^12,OFFSET(CRONOPLE!$F$14,$M91,AP$13))))</f>
        <v>1000000000000</v>
      </c>
      <c r="AQ91" s="181">
        <f ca="1">IF($D91&lt;&gt;"Serviço",0,IF(AND(AUTOEVENTO="Manual",$M91=1),0,IF(OFFSET(CRONOPLE!$F$14,$M91,AQ$13)="",10^12,OFFSET(CRONOPLE!$F$14,$M91,AQ$13))))</f>
        <v>1000000000000</v>
      </c>
      <c r="AR91" s="181">
        <f ca="1">IF($D91&lt;&gt;"Serviço",0,IF(AND(AUTOEVENTO="Manual",$M91=1),0,IF(OFFSET(CRONOPLE!$F$14,$M91,AR$13)="",10^12,OFFSET(CRONOPLE!$F$14,$M91,AR$13))))</f>
        <v>1000000000000</v>
      </c>
      <c r="AS91" s="181">
        <f ca="1">IF($D91&lt;&gt;"Serviço",0,IF(AND(AUTOEVENTO="Manual",$M91=1),0,IF(OFFSET(CRONOPLE!$F$14,$M91,AS$13)="",10^12,OFFSET(CRONOPLE!$F$14,$M91,AS$13))))</f>
        <v>1000000000000</v>
      </c>
      <c r="AT91" s="181">
        <f ca="1">IF($D91&lt;&gt;"Serviço",0,IF(AND(AUTOEVENTO="Manual",$M91=1),0,IF(OFFSET(CRONOPLE!$F$14,$M91,AT$13)="",10^12,OFFSET(CRONOPLE!$F$14,$M91,AT$13))))</f>
        <v>1000000000000</v>
      </c>
      <c r="AU91" s="181">
        <f ca="1">IF($D91&lt;&gt;"Serviço",0,IF(AND(AUTOEVENTO="Manual",$M91=1),0,IF(OFFSET(CRONOPLE!$F$14,$M91,AU$13)="",10^12,OFFSET(CRONOPLE!$F$14,$M91,AU$13))))</f>
        <v>1000000000000</v>
      </c>
      <c r="AV91" s="181">
        <f ca="1">IF($D91&lt;&gt;"Serviço",0,IF(AND(AUTOEVENTO="Manual",$M91=1),0,IF(OFFSET(CRONOPLE!$F$14,$M91,AV$13)="",10^12,OFFSET(CRONOPLE!$F$14,$M91,AV$13))))</f>
        <v>1000000000000</v>
      </c>
      <c r="AX91" s="182">
        <f ca="1">IF($D91&lt;&gt;"Serviço",0,IF(OR(AND(AUTOEVENTO="Manual",$M91=1),$M91&gt;(ROW(PLE.lastrow)-ROW(PLE.firstrow))),0,IF(OFFSET(PLE!$G$14,$M91,AX$13)="",10^12,OFFSET(PLE!$G$14,$M91,AX$13))))</f>
        <v>1000000000000</v>
      </c>
      <c r="AY91" s="182">
        <f ca="1">IF($D91&lt;&gt;"Serviço",0,IF(OR(AND(AUTOEVENTO="Manual",$M91=1),$M91&gt;(ROW(PLE.lastrow)-ROW(PLE.firstrow))),0,IF(OFFSET(PLE!$G$14,$M91,AY$13)="",10^12,OFFSET(PLE!$G$14,$M91,AY$13))))</f>
        <v>1000000000000</v>
      </c>
      <c r="AZ91" s="182">
        <f ca="1">IF($D91&lt;&gt;"Serviço",0,IF(OR(AND(AUTOEVENTO="Manual",$M91=1),$M91&gt;(ROW(PLE.lastrow)-ROW(PLE.firstrow))),0,IF(OFFSET(PLE!$G$14,$M91,AZ$13)="",10^12,OFFSET(PLE!$G$14,$M91,AZ$13))))</f>
        <v>1000000000000</v>
      </c>
      <c r="BA91" s="182">
        <f ca="1">IF($D91&lt;&gt;"Serviço",0,IF(OR(AND(AUTOEVENTO="Manual",$M91=1),$M91&gt;(ROW(PLE.lastrow)-ROW(PLE.firstrow))),0,IF(OFFSET(PLE!$G$14,$M91,BA$13)="",10^12,OFFSET(PLE!$G$14,$M91,BA$13))))</f>
        <v>1000000000000</v>
      </c>
      <c r="BB91" s="182">
        <f ca="1">IF($D91&lt;&gt;"Serviço",0,IF(OR(AND(AUTOEVENTO="Manual",$M91=1),$M91&gt;(ROW(PLE.lastrow)-ROW(PLE.firstrow))),0,IF(OFFSET(PLE!$G$14,$M91,BB$13)="",10^12,OFFSET(PLE!$G$14,$M91,BB$13))))</f>
        <v>1000000000000</v>
      </c>
      <c r="BC91" s="182">
        <f ca="1">IF($D91&lt;&gt;"Serviço",0,IF(OR(AND(AUTOEVENTO="Manual",$M91=1),$M91&gt;(ROW(PLE.lastrow)-ROW(PLE.firstrow))),0,IF(OFFSET(PLE!$G$14,$M91,BC$13)="",10^12,OFFSET(PLE!$G$14,$M91,BC$13))))</f>
        <v>1000000000000</v>
      </c>
      <c r="BD91" s="182">
        <f ca="1">IF($D91&lt;&gt;"Serviço",0,IF(OR(AND(AUTOEVENTO="Manual",$M91=1),$M91&gt;(ROW(PLE.lastrow)-ROW(PLE.firstrow))),0,IF(OFFSET(PLE!$G$14,$M91,BD$13)="",10^12,OFFSET(PLE!$G$14,$M91,BD$13))))</f>
        <v>1000000000000</v>
      </c>
      <c r="BE91" s="182">
        <f ca="1">IF($D91&lt;&gt;"Serviço",0,IF(OR(AND(AUTOEVENTO="Manual",$M91=1),$M91&gt;(ROW(PLE.lastrow)-ROW(PLE.firstrow))),0,IF(OFFSET(PLE!$G$14,$M91,BE$13)="",10^12,OFFSET(PLE!$G$14,$M91,BE$13))))</f>
        <v>1000000000000</v>
      </c>
      <c r="BF91" s="182">
        <f ca="1">IF($D91&lt;&gt;"Serviço",0,IF(OR(AND(AUTOEVENTO="Manual",$M91=1),$M91&gt;(ROW(PLE.lastrow)-ROW(PLE.firstrow))),0,IF(OFFSET(PLE!$G$14,$M91,BF$13)="",10^12,OFFSET(PLE!$G$14,$M91,BF$13))))</f>
        <v>1000000000000</v>
      </c>
      <c r="BG91" s="182">
        <f ca="1">IF($D91&lt;&gt;"Serviço",0,IF(OR(AND(AUTOEVENTO="Manual",$M91=1),$M91&gt;(ROW(PLE.lastrow)-ROW(PLE.firstrow))),0,IF(OFFSET(PLE!$G$14,$M91,BG$13)="",10^12,OFFSET(PLE!$G$14,$M91,BG$13))))</f>
        <v>1000000000000</v>
      </c>
    </row>
    <row r="92" spans="1:59" ht="25.5" x14ac:dyDescent="0.2">
      <c r="A92" s="7" t="str">
        <f ca="1">IF(AUTOEVENTO="Manual",IF(K92&lt;&gt;"",MIN(VALUE(LEFT(K92,FIND(".",K92)-1)),COUNTA(EVENTOS.Lista)),0),IF(OR($B92&gt;AUTOEVENTO,$B92="S",$B92=0),SUBSTITUTE(OFFSET($A92,-1,0),IF($D92="Serviço",".",""),""),ROW(A92)-ROW($A$15)&amp;"."))</f>
        <v>69</v>
      </c>
      <c r="B92" s="7" t="str">
        <f ca="1">OFFSET(ORÇAMENTO!C$15,ROW(B92)-ROW(B$15),0)</f>
        <v>S</v>
      </c>
      <c r="C92" s="7" t="str">
        <f ca="1">OFFSET(ORÇAMENTO!L$15,ROW(C92)-ROW(C$15),0)</f>
        <v>F</v>
      </c>
      <c r="D92" s="118" t="str">
        <f ca="1">OFFSET(ORÇAMENTO!N$15,ROW(D92)-ROW(D$15),0)</f>
        <v>Serviço</v>
      </c>
      <c r="E92" s="119" t="str">
        <f ca="1">OFFSET(ORÇAMENTO!O$15,ROW(E92)-ROW(E$15),0)</f>
        <v>6.2.8.</v>
      </c>
      <c r="F92" s="172" t="str">
        <f ca="1">OFFSET(ORÇAMENTO!R$15,ROW(F92)-ROW(F$15),0)</f>
        <v>TOMADA BAIXA DE EMBUTIR (1 MÓDULO), 2P+T 10 A, INCLUINDO SUPORTE E PLACA - FORNECIMENTO E INSTALAÇÃO. AF_03/2023</v>
      </c>
      <c r="G92" s="173" t="str">
        <f ca="1">IF($D92&lt;&gt;"Serviço","",OFFSET(ORÇAMENTO!S$15,ROW(G92)-ROW(G$15),0))</f>
        <v>UN</v>
      </c>
      <c r="H92" s="124">
        <f ca="1">IF($D92&lt;&gt;"Serviço",0,IF(ACOMPANHAMENTO="BM",ROUND(OFFSET(ORÇAMENTO!AJ$15,ROW(H92)-ROW(H$15),0),15-13*ORÇAMENTO!$AF$7),SUMPRODUCT(($Q$12:$AA$12&lt;&gt;"")*ROUND($Q92:$AA92,15-13*ORÇAMENTO!$AF$7))))</f>
        <v>10</v>
      </c>
      <c r="I92" s="561"/>
      <c r="K92" s="174"/>
      <c r="L92" s="175" t="s">
        <v>255</v>
      </c>
      <c r="M92" s="176">
        <f ca="1">IF($D92&lt;&gt;"Serviço","",IF(AUTOEVENTO="manual",$A92,IF(ISERROR(MATCH($A92,$A$15:OFFSET($A92,-1,0),0)),MAX($M$15:OFFSET(M92,-1,0))+1,INDEX($M$15:OFFSET(M92,-1,0),MATCH($A92,$A$15:OFFSET($A92,-1,0),0)))))</f>
        <v>15</v>
      </c>
      <c r="N92" s="177" t="str">
        <f ca="1">IF($D92&lt;&gt;"Serviço","",IF(AUTOEVENTO="Manual",IF($A92=0,"&lt;-- defina o número do agrupador",OFFSET(EVENTOS!$D$14,$A92,0)),OFFSET($F$15,$A92,0)))</f>
        <v>INSTALAÇÕES ELÉTRICAS</v>
      </c>
      <c r="O92" s="178"/>
      <c r="Q92" s="178"/>
      <c r="R92" s="179"/>
      <c r="S92" s="179"/>
      <c r="T92" s="179"/>
      <c r="U92" s="179"/>
      <c r="V92" s="179"/>
      <c r="W92" s="179"/>
      <c r="X92" s="179"/>
      <c r="Y92" s="179"/>
      <c r="Z92" s="180"/>
      <c r="AB92" s="544">
        <f ca="1">IF(AND($D92="Serviço",AB$12&lt;&gt;0,$H92&gt;0,OR(AUTOEVENTO&lt;&gt;"manual",$M92&lt;&gt;1)),
IF(Import.TipoArredondamento&lt;&gt;"TransfereGOV",
ROUND(OFFSET($P92,0,AB$13),15-13*ORÇAMENTO!$AF$7)/$H92*OFFSET(ORÇAMENTO!$X$15,ROW(AB92)-ROW(AB$15),0),
ROUND(ROUND(OFFSET($P92,0,AB$13),15-13*ORÇAMENTO!$AF$7)*OFFSET(ORÇAMENTO!$W$15,ROW(AB92)-ROW(AB$15),0),15-13*ORÇAMENTO!$AF$11)),0)</f>
        <v>0</v>
      </c>
      <c r="AC92" s="545">
        <f ca="1">IF(AND($D92="Serviço",AC$12&lt;&gt;0,$H92&gt;0,OR(AUTOEVENTO&lt;&gt;"manual",$M92&lt;&gt;1)),
IF(Import.TipoArredondamento&lt;&gt;"TransfereGOV",
ROUND(OFFSET($P92,0,AC$13),15-13*ORÇAMENTO!$AF$7)/$H92*OFFSET(ORÇAMENTO!$X$15,ROW(AC92)-ROW(AC$15),0),
ROUND(ROUND(OFFSET($P92,0,AC$13),15-13*ORÇAMENTO!$AF$7)*OFFSET(ORÇAMENTO!$W$15,ROW(AC92)-ROW(AC$15),0),15-13*ORÇAMENTO!$AF$11)),0)</f>
        <v>0</v>
      </c>
      <c r="AD92" s="545">
        <f ca="1">IF(AND($D92="Serviço",AD$12&lt;&gt;0,$H92&gt;0,OR(AUTOEVENTO&lt;&gt;"manual",$M92&lt;&gt;1)),
IF(Import.TipoArredondamento&lt;&gt;"TransfereGOV",
ROUND(OFFSET($P92,0,AD$13),15-13*ORÇAMENTO!$AF$7)/$H92*OFFSET(ORÇAMENTO!$X$15,ROW(AD92)-ROW(AD$15),0),
ROUND(ROUND(OFFSET($P92,0,AD$13),15-13*ORÇAMENTO!$AF$7)*OFFSET(ORÇAMENTO!$W$15,ROW(AD92)-ROW(AD$15),0),15-13*ORÇAMENTO!$AF$11)),0)</f>
        <v>0</v>
      </c>
      <c r="AE92" s="545">
        <f ca="1">IF(AND($D92="Serviço",AE$12&lt;&gt;0,$H92&gt;0,OR(AUTOEVENTO&lt;&gt;"manual",$M92&lt;&gt;1)),
IF(Import.TipoArredondamento&lt;&gt;"TransfereGOV",
ROUND(OFFSET($P92,0,AE$13),15-13*ORÇAMENTO!$AF$7)/$H92*OFFSET(ORÇAMENTO!$X$15,ROW(AE92)-ROW(AE$15),0),
ROUND(ROUND(OFFSET($P92,0,AE$13),15-13*ORÇAMENTO!$AF$7)*OFFSET(ORÇAMENTO!$W$15,ROW(AE92)-ROW(AE$15),0),15-13*ORÇAMENTO!$AF$11)),0)</f>
        <v>0</v>
      </c>
      <c r="AF92" s="545">
        <f ca="1">IF(AND($D92="Serviço",AF$12&lt;&gt;0,$H92&gt;0,OR(AUTOEVENTO&lt;&gt;"manual",$M92&lt;&gt;1)),
IF(Import.TipoArredondamento&lt;&gt;"TransfereGOV",
ROUND(OFFSET($P92,0,AF$13),15-13*ORÇAMENTO!$AF$7)/$H92*OFFSET(ORÇAMENTO!$X$15,ROW(AF92)-ROW(AF$15),0),
ROUND(ROUND(OFFSET($P92,0,AF$13),15-13*ORÇAMENTO!$AF$7)*OFFSET(ORÇAMENTO!$W$15,ROW(AF92)-ROW(AF$15),0),15-13*ORÇAMENTO!$AF$11)),0)</f>
        <v>0</v>
      </c>
      <c r="AG92" s="545">
        <f ca="1">IF(AND($D92="Serviço",AG$12&lt;&gt;0,$H92&gt;0,OR(AUTOEVENTO&lt;&gt;"manual",$M92&lt;&gt;1)),
IF(Import.TipoArredondamento&lt;&gt;"TransfereGOV",
ROUND(OFFSET($P92,0,AG$13),15-13*ORÇAMENTO!$AF$7)/$H92*OFFSET(ORÇAMENTO!$X$15,ROW(AG92)-ROW(AG$15),0),
ROUND(ROUND(OFFSET($P92,0,AG$13),15-13*ORÇAMENTO!$AF$7)*OFFSET(ORÇAMENTO!$W$15,ROW(AG92)-ROW(AG$15),0),15-13*ORÇAMENTO!$AF$11)),0)</f>
        <v>0</v>
      </c>
      <c r="AH92" s="545">
        <f ca="1">IF(AND($D92="Serviço",AH$12&lt;&gt;0,$H92&gt;0,OR(AUTOEVENTO&lt;&gt;"manual",$M92&lt;&gt;1)),
IF(Import.TipoArredondamento&lt;&gt;"TransfereGOV",
ROUND(OFFSET($P92,0,AH$13),15-13*ORÇAMENTO!$AF$7)/$H92*OFFSET(ORÇAMENTO!$X$15,ROW(AH92)-ROW(AH$15),0),
ROUND(ROUND(OFFSET($P92,0,AH$13),15-13*ORÇAMENTO!$AF$7)*OFFSET(ORÇAMENTO!$W$15,ROW(AH92)-ROW(AH$15),0),15-13*ORÇAMENTO!$AF$11)),0)</f>
        <v>0</v>
      </c>
      <c r="AI92" s="545">
        <f ca="1">IF(AND($D92="Serviço",AI$12&lt;&gt;0,$H92&gt;0,OR(AUTOEVENTO&lt;&gt;"manual",$M92&lt;&gt;1)),
IF(Import.TipoArredondamento&lt;&gt;"TransfereGOV",
ROUND(OFFSET($P92,0,AI$13),15-13*ORÇAMENTO!$AF$7)/$H92*OFFSET(ORÇAMENTO!$X$15,ROW(AI92)-ROW(AI$15),0),
ROUND(ROUND(OFFSET($P92,0,AI$13),15-13*ORÇAMENTO!$AF$7)*OFFSET(ORÇAMENTO!$W$15,ROW(AI92)-ROW(AI$15),0),15-13*ORÇAMENTO!$AF$11)),0)</f>
        <v>0</v>
      </c>
      <c r="AJ92" s="545">
        <f ca="1">IF(AND($D92="Serviço",AJ$12&lt;&gt;0,$H92&gt;0,OR(AUTOEVENTO&lt;&gt;"manual",$M92&lt;&gt;1)),
IF(Import.TipoArredondamento&lt;&gt;"TransfereGOV",
ROUND(OFFSET($P92,0,AJ$13),15-13*ORÇAMENTO!$AF$7)/$H92*OFFSET(ORÇAMENTO!$X$15,ROW(AJ92)-ROW(AJ$15),0),
ROUND(ROUND(OFFSET($P92,0,AJ$13),15-13*ORÇAMENTO!$AF$7)*OFFSET(ORÇAMENTO!$W$15,ROW(AJ92)-ROW(AJ$15),0),15-13*ORÇAMENTO!$AF$11)),0)</f>
        <v>0</v>
      </c>
      <c r="AK92" s="546">
        <f ca="1">IF(AND($D92="Serviço",AK$12&lt;&gt;0,$H92&gt;0,OR(AUTOEVENTO&lt;&gt;"manual",$M92&lt;&gt;1)),
IF(Import.TipoArredondamento&lt;&gt;"TransfereGOV",
ROUND(OFFSET($P92,0,AK$13),15-13*ORÇAMENTO!$AF$7)/$H92*OFFSET(ORÇAMENTO!$X$15,ROW(AK92)-ROW(AK$15),0),
ROUND(ROUND(OFFSET($P92,0,AK$13),15-13*ORÇAMENTO!$AF$7)*OFFSET(ORÇAMENTO!$W$15,ROW(AK92)-ROW(AK$15),0),15-13*ORÇAMENTO!$AF$11)),0)</f>
        <v>0</v>
      </c>
      <c r="AM92" s="181">
        <f ca="1">IF($D92&lt;&gt;"Serviço",0,IF(AND(AUTOEVENTO="Manual",$M92=1),0,IF(OFFSET(CRONOPLE!$F$14,$M92,AM$13)="",10^12,OFFSET(CRONOPLE!$F$14,$M92,AM$13))))</f>
        <v>1000000000000</v>
      </c>
      <c r="AN92" s="181">
        <f ca="1">IF($D92&lt;&gt;"Serviço",0,IF(AND(AUTOEVENTO="Manual",$M92=1),0,IF(OFFSET(CRONOPLE!$F$14,$M92,AN$13)="",10^12,OFFSET(CRONOPLE!$F$14,$M92,AN$13))))</f>
        <v>1000000000000</v>
      </c>
      <c r="AO92" s="181">
        <f ca="1">IF($D92&lt;&gt;"Serviço",0,IF(AND(AUTOEVENTO="Manual",$M92=1),0,IF(OFFSET(CRONOPLE!$F$14,$M92,AO$13)="",10^12,OFFSET(CRONOPLE!$F$14,$M92,AO$13))))</f>
        <v>1000000000000</v>
      </c>
      <c r="AP92" s="181">
        <f ca="1">IF($D92&lt;&gt;"Serviço",0,IF(AND(AUTOEVENTO="Manual",$M92=1),0,IF(OFFSET(CRONOPLE!$F$14,$M92,AP$13)="",10^12,OFFSET(CRONOPLE!$F$14,$M92,AP$13))))</f>
        <v>1000000000000</v>
      </c>
      <c r="AQ92" s="181">
        <f ca="1">IF($D92&lt;&gt;"Serviço",0,IF(AND(AUTOEVENTO="Manual",$M92=1),0,IF(OFFSET(CRONOPLE!$F$14,$M92,AQ$13)="",10^12,OFFSET(CRONOPLE!$F$14,$M92,AQ$13))))</f>
        <v>1000000000000</v>
      </c>
      <c r="AR92" s="181">
        <f ca="1">IF($D92&lt;&gt;"Serviço",0,IF(AND(AUTOEVENTO="Manual",$M92=1),0,IF(OFFSET(CRONOPLE!$F$14,$M92,AR$13)="",10^12,OFFSET(CRONOPLE!$F$14,$M92,AR$13))))</f>
        <v>1000000000000</v>
      </c>
      <c r="AS92" s="181">
        <f ca="1">IF($D92&lt;&gt;"Serviço",0,IF(AND(AUTOEVENTO="Manual",$M92=1),0,IF(OFFSET(CRONOPLE!$F$14,$M92,AS$13)="",10^12,OFFSET(CRONOPLE!$F$14,$M92,AS$13))))</f>
        <v>1000000000000</v>
      </c>
      <c r="AT92" s="181">
        <f ca="1">IF($D92&lt;&gt;"Serviço",0,IF(AND(AUTOEVENTO="Manual",$M92=1),0,IF(OFFSET(CRONOPLE!$F$14,$M92,AT$13)="",10^12,OFFSET(CRONOPLE!$F$14,$M92,AT$13))))</f>
        <v>1000000000000</v>
      </c>
      <c r="AU92" s="181">
        <f ca="1">IF($D92&lt;&gt;"Serviço",0,IF(AND(AUTOEVENTO="Manual",$M92=1),0,IF(OFFSET(CRONOPLE!$F$14,$M92,AU$13)="",10^12,OFFSET(CRONOPLE!$F$14,$M92,AU$13))))</f>
        <v>1000000000000</v>
      </c>
      <c r="AV92" s="181">
        <f ca="1">IF($D92&lt;&gt;"Serviço",0,IF(AND(AUTOEVENTO="Manual",$M92=1),0,IF(OFFSET(CRONOPLE!$F$14,$M92,AV$13)="",10^12,OFFSET(CRONOPLE!$F$14,$M92,AV$13))))</f>
        <v>1000000000000</v>
      </c>
      <c r="AX92" s="182">
        <f ca="1">IF($D92&lt;&gt;"Serviço",0,IF(OR(AND(AUTOEVENTO="Manual",$M92=1),$M92&gt;(ROW(PLE.lastrow)-ROW(PLE.firstrow))),0,IF(OFFSET(PLE!$G$14,$M92,AX$13)="",10^12,OFFSET(PLE!$G$14,$M92,AX$13))))</f>
        <v>1000000000000</v>
      </c>
      <c r="AY92" s="182">
        <f ca="1">IF($D92&lt;&gt;"Serviço",0,IF(OR(AND(AUTOEVENTO="Manual",$M92=1),$M92&gt;(ROW(PLE.lastrow)-ROW(PLE.firstrow))),0,IF(OFFSET(PLE!$G$14,$M92,AY$13)="",10^12,OFFSET(PLE!$G$14,$M92,AY$13))))</f>
        <v>1000000000000</v>
      </c>
      <c r="AZ92" s="182">
        <f ca="1">IF($D92&lt;&gt;"Serviço",0,IF(OR(AND(AUTOEVENTO="Manual",$M92=1),$M92&gt;(ROW(PLE.lastrow)-ROW(PLE.firstrow))),0,IF(OFFSET(PLE!$G$14,$M92,AZ$13)="",10^12,OFFSET(PLE!$G$14,$M92,AZ$13))))</f>
        <v>1000000000000</v>
      </c>
      <c r="BA92" s="182">
        <f ca="1">IF($D92&lt;&gt;"Serviço",0,IF(OR(AND(AUTOEVENTO="Manual",$M92=1),$M92&gt;(ROW(PLE.lastrow)-ROW(PLE.firstrow))),0,IF(OFFSET(PLE!$G$14,$M92,BA$13)="",10^12,OFFSET(PLE!$G$14,$M92,BA$13))))</f>
        <v>1000000000000</v>
      </c>
      <c r="BB92" s="182">
        <f ca="1">IF($D92&lt;&gt;"Serviço",0,IF(OR(AND(AUTOEVENTO="Manual",$M92=1),$M92&gt;(ROW(PLE.lastrow)-ROW(PLE.firstrow))),0,IF(OFFSET(PLE!$G$14,$M92,BB$13)="",10^12,OFFSET(PLE!$G$14,$M92,BB$13))))</f>
        <v>1000000000000</v>
      </c>
      <c r="BC92" s="182">
        <f ca="1">IF($D92&lt;&gt;"Serviço",0,IF(OR(AND(AUTOEVENTO="Manual",$M92=1),$M92&gt;(ROW(PLE.lastrow)-ROW(PLE.firstrow))),0,IF(OFFSET(PLE!$G$14,$M92,BC$13)="",10^12,OFFSET(PLE!$G$14,$M92,BC$13))))</f>
        <v>1000000000000</v>
      </c>
      <c r="BD92" s="182">
        <f ca="1">IF($D92&lt;&gt;"Serviço",0,IF(OR(AND(AUTOEVENTO="Manual",$M92=1),$M92&gt;(ROW(PLE.lastrow)-ROW(PLE.firstrow))),0,IF(OFFSET(PLE!$G$14,$M92,BD$13)="",10^12,OFFSET(PLE!$G$14,$M92,BD$13))))</f>
        <v>1000000000000</v>
      </c>
      <c r="BE92" s="182">
        <f ca="1">IF($D92&lt;&gt;"Serviço",0,IF(OR(AND(AUTOEVENTO="Manual",$M92=1),$M92&gt;(ROW(PLE.lastrow)-ROW(PLE.firstrow))),0,IF(OFFSET(PLE!$G$14,$M92,BE$13)="",10^12,OFFSET(PLE!$G$14,$M92,BE$13))))</f>
        <v>1000000000000</v>
      </c>
      <c r="BF92" s="182">
        <f ca="1">IF($D92&lt;&gt;"Serviço",0,IF(OR(AND(AUTOEVENTO="Manual",$M92=1),$M92&gt;(ROW(PLE.lastrow)-ROW(PLE.firstrow))),0,IF(OFFSET(PLE!$G$14,$M92,BF$13)="",10^12,OFFSET(PLE!$G$14,$M92,BF$13))))</f>
        <v>1000000000000</v>
      </c>
      <c r="BG92" s="182">
        <f ca="1">IF($D92&lt;&gt;"Serviço",0,IF(OR(AND(AUTOEVENTO="Manual",$M92=1),$M92&gt;(ROW(PLE.lastrow)-ROW(PLE.firstrow))),0,IF(OFFSET(PLE!$G$14,$M92,BG$13)="",10^12,OFFSET(PLE!$G$14,$M92,BG$13))))</f>
        <v>1000000000000</v>
      </c>
    </row>
    <row r="93" spans="1:59" ht="38.25" x14ac:dyDescent="0.2">
      <c r="A93" s="7" t="str">
        <f t="shared" ca="1" si="8"/>
        <v>69</v>
      </c>
      <c r="B93" s="7" t="str">
        <f ca="1">OFFSET(ORÇAMENTO!C$15,ROW(B93)-ROW(B$15),0)</f>
        <v>S</v>
      </c>
      <c r="C93" s="7" t="str">
        <f ca="1">OFFSET(ORÇAMENTO!L$15,ROW(C93)-ROW(C$15),0)</f>
        <v>F</v>
      </c>
      <c r="D93" s="118" t="str">
        <f ca="1">OFFSET(ORÇAMENTO!N$15,ROW(D93)-ROW(D$15),0)</f>
        <v>Serviço</v>
      </c>
      <c r="E93" s="119" t="str">
        <f ca="1">OFFSET(ORÇAMENTO!O$15,ROW(E93)-ROW(E$15),0)</f>
        <v>6.2.9.</v>
      </c>
      <c r="F93" s="172" t="str">
        <f ca="1">OFFSET(ORÇAMENTO!R$15,ROW(F93)-ROW(F$15),0)</f>
        <v>INTERRUPTOR SIMPLES (1 MÓDULO) COM 1 TOMADA DE EMBUTIR 2P+T 10 A, INCLUINDO SUPORTE E PLACA - FORNECIMENTO E INSTALAÇÃO. AF_03/2023</v>
      </c>
      <c r="G93" s="173" t="str">
        <f ca="1">IF($D93&lt;&gt;"Serviço","",OFFSET(ORÇAMENTO!S$15,ROW(G93)-ROW(G$15),0))</f>
        <v>UN</v>
      </c>
      <c r="H93" s="124">
        <f ca="1">IF($D93&lt;&gt;"Serviço",0,IF(ACOMPANHAMENTO="BM",ROUND(OFFSET(ORÇAMENTO!AJ$15,ROW(H93)-ROW(H$15),0),15-13*ORÇAMENTO!$AF$7),SUMPRODUCT(($Q$12:$AA$12&lt;&gt;"")*ROUND($Q93:$AA93,15-13*ORÇAMENTO!$AF$7))))</f>
        <v>12</v>
      </c>
      <c r="I93" s="561"/>
      <c r="K93" s="174"/>
      <c r="L93" s="175" t="s">
        <v>255</v>
      </c>
      <c r="M93" s="176">
        <f ca="1">IF($D93&lt;&gt;"Serviço","",IF(AUTOEVENTO="manual",$A93,IF(ISERROR(MATCH($A93,$A$15:OFFSET($A93,-1,0),0)),MAX($M$15:OFFSET(M93,-1,0))+1,INDEX($M$15:OFFSET(M93,-1,0),MATCH($A93,$A$15:OFFSET($A93,-1,0),0)))))</f>
        <v>15</v>
      </c>
      <c r="N93" s="177" t="str">
        <f ca="1">IF($D93&lt;&gt;"Serviço","",IF(AUTOEVENTO="Manual",IF($A93=0,"&lt;-- defina o número do agrupador",OFFSET(EVENTOS!$D$14,$A93,0)),OFFSET($F$15,$A93,0)))</f>
        <v>INSTALAÇÕES ELÉTRICAS</v>
      </c>
      <c r="O93" s="178"/>
      <c r="Q93" s="178"/>
      <c r="R93" s="179"/>
      <c r="S93" s="179"/>
      <c r="T93" s="179"/>
      <c r="U93" s="179"/>
      <c r="V93" s="179"/>
      <c r="W93" s="179"/>
      <c r="X93" s="179"/>
      <c r="Y93" s="179"/>
      <c r="Z93" s="180"/>
      <c r="AB93" s="544">
        <f ca="1">IF(AND($D93="Serviço",AB$12&lt;&gt;0,$H93&gt;0,OR(AUTOEVENTO&lt;&gt;"manual",$M93&lt;&gt;1)),
IF(Import.TipoArredondamento&lt;&gt;"TransfereGOV",
ROUND(OFFSET($P93,0,AB$13),15-13*ORÇAMENTO!$AF$7)/$H93*OFFSET(ORÇAMENTO!$X$15,ROW(AB93)-ROW(AB$15),0),
ROUND(ROUND(OFFSET($P93,0,AB$13),15-13*ORÇAMENTO!$AF$7)*OFFSET(ORÇAMENTO!$W$15,ROW(AB93)-ROW(AB$15),0),15-13*ORÇAMENTO!$AF$11)),0)</f>
        <v>0</v>
      </c>
      <c r="AC93" s="545">
        <f ca="1">IF(AND($D93="Serviço",AC$12&lt;&gt;0,$H93&gt;0,OR(AUTOEVENTO&lt;&gt;"manual",$M93&lt;&gt;1)),
IF(Import.TipoArredondamento&lt;&gt;"TransfereGOV",
ROUND(OFFSET($P93,0,AC$13),15-13*ORÇAMENTO!$AF$7)/$H93*OFFSET(ORÇAMENTO!$X$15,ROW(AC93)-ROW(AC$15),0),
ROUND(ROUND(OFFSET($P93,0,AC$13),15-13*ORÇAMENTO!$AF$7)*OFFSET(ORÇAMENTO!$W$15,ROW(AC93)-ROW(AC$15),0),15-13*ORÇAMENTO!$AF$11)),0)</f>
        <v>0</v>
      </c>
      <c r="AD93" s="545">
        <f ca="1">IF(AND($D93="Serviço",AD$12&lt;&gt;0,$H93&gt;0,OR(AUTOEVENTO&lt;&gt;"manual",$M93&lt;&gt;1)),
IF(Import.TipoArredondamento&lt;&gt;"TransfereGOV",
ROUND(OFFSET($P93,0,AD$13),15-13*ORÇAMENTO!$AF$7)/$H93*OFFSET(ORÇAMENTO!$X$15,ROW(AD93)-ROW(AD$15),0),
ROUND(ROUND(OFFSET($P93,0,AD$13),15-13*ORÇAMENTO!$AF$7)*OFFSET(ORÇAMENTO!$W$15,ROW(AD93)-ROW(AD$15),0),15-13*ORÇAMENTO!$AF$11)),0)</f>
        <v>0</v>
      </c>
      <c r="AE93" s="545">
        <f ca="1">IF(AND($D93="Serviço",AE$12&lt;&gt;0,$H93&gt;0,OR(AUTOEVENTO&lt;&gt;"manual",$M93&lt;&gt;1)),
IF(Import.TipoArredondamento&lt;&gt;"TransfereGOV",
ROUND(OFFSET($P93,0,AE$13),15-13*ORÇAMENTO!$AF$7)/$H93*OFFSET(ORÇAMENTO!$X$15,ROW(AE93)-ROW(AE$15),0),
ROUND(ROUND(OFFSET($P93,0,AE$13),15-13*ORÇAMENTO!$AF$7)*OFFSET(ORÇAMENTO!$W$15,ROW(AE93)-ROW(AE$15),0),15-13*ORÇAMENTO!$AF$11)),0)</f>
        <v>0</v>
      </c>
      <c r="AF93" s="545">
        <f ca="1">IF(AND($D93="Serviço",AF$12&lt;&gt;0,$H93&gt;0,OR(AUTOEVENTO&lt;&gt;"manual",$M93&lt;&gt;1)),
IF(Import.TipoArredondamento&lt;&gt;"TransfereGOV",
ROUND(OFFSET($P93,0,AF$13),15-13*ORÇAMENTO!$AF$7)/$H93*OFFSET(ORÇAMENTO!$X$15,ROW(AF93)-ROW(AF$15),0),
ROUND(ROUND(OFFSET($P93,0,AF$13),15-13*ORÇAMENTO!$AF$7)*OFFSET(ORÇAMENTO!$W$15,ROW(AF93)-ROW(AF$15),0),15-13*ORÇAMENTO!$AF$11)),0)</f>
        <v>0</v>
      </c>
      <c r="AG93" s="545">
        <f ca="1">IF(AND($D93="Serviço",AG$12&lt;&gt;0,$H93&gt;0,OR(AUTOEVENTO&lt;&gt;"manual",$M93&lt;&gt;1)),
IF(Import.TipoArredondamento&lt;&gt;"TransfereGOV",
ROUND(OFFSET($P93,0,AG$13),15-13*ORÇAMENTO!$AF$7)/$H93*OFFSET(ORÇAMENTO!$X$15,ROW(AG93)-ROW(AG$15),0),
ROUND(ROUND(OFFSET($P93,0,AG$13),15-13*ORÇAMENTO!$AF$7)*OFFSET(ORÇAMENTO!$W$15,ROW(AG93)-ROW(AG$15),0),15-13*ORÇAMENTO!$AF$11)),0)</f>
        <v>0</v>
      </c>
      <c r="AH93" s="545">
        <f ca="1">IF(AND($D93="Serviço",AH$12&lt;&gt;0,$H93&gt;0,OR(AUTOEVENTO&lt;&gt;"manual",$M93&lt;&gt;1)),
IF(Import.TipoArredondamento&lt;&gt;"TransfereGOV",
ROUND(OFFSET($P93,0,AH$13),15-13*ORÇAMENTO!$AF$7)/$H93*OFFSET(ORÇAMENTO!$X$15,ROW(AH93)-ROW(AH$15),0),
ROUND(ROUND(OFFSET($P93,0,AH$13),15-13*ORÇAMENTO!$AF$7)*OFFSET(ORÇAMENTO!$W$15,ROW(AH93)-ROW(AH$15),0),15-13*ORÇAMENTO!$AF$11)),0)</f>
        <v>0</v>
      </c>
      <c r="AI93" s="545">
        <f ca="1">IF(AND($D93="Serviço",AI$12&lt;&gt;0,$H93&gt;0,OR(AUTOEVENTO&lt;&gt;"manual",$M93&lt;&gt;1)),
IF(Import.TipoArredondamento&lt;&gt;"TransfereGOV",
ROUND(OFFSET($P93,0,AI$13),15-13*ORÇAMENTO!$AF$7)/$H93*OFFSET(ORÇAMENTO!$X$15,ROW(AI93)-ROW(AI$15),0),
ROUND(ROUND(OFFSET($P93,0,AI$13),15-13*ORÇAMENTO!$AF$7)*OFFSET(ORÇAMENTO!$W$15,ROW(AI93)-ROW(AI$15),0),15-13*ORÇAMENTO!$AF$11)),0)</f>
        <v>0</v>
      </c>
      <c r="AJ93" s="545">
        <f ca="1">IF(AND($D93="Serviço",AJ$12&lt;&gt;0,$H93&gt;0,OR(AUTOEVENTO&lt;&gt;"manual",$M93&lt;&gt;1)),
IF(Import.TipoArredondamento&lt;&gt;"TransfereGOV",
ROUND(OFFSET($P93,0,AJ$13),15-13*ORÇAMENTO!$AF$7)/$H93*OFFSET(ORÇAMENTO!$X$15,ROW(AJ93)-ROW(AJ$15),0),
ROUND(ROUND(OFFSET($P93,0,AJ$13),15-13*ORÇAMENTO!$AF$7)*OFFSET(ORÇAMENTO!$W$15,ROW(AJ93)-ROW(AJ$15),0),15-13*ORÇAMENTO!$AF$11)),0)</f>
        <v>0</v>
      </c>
      <c r="AK93" s="546">
        <f ca="1">IF(AND($D93="Serviço",AK$12&lt;&gt;0,$H93&gt;0,OR(AUTOEVENTO&lt;&gt;"manual",$M93&lt;&gt;1)),
IF(Import.TipoArredondamento&lt;&gt;"TransfereGOV",
ROUND(OFFSET($P93,0,AK$13),15-13*ORÇAMENTO!$AF$7)/$H93*OFFSET(ORÇAMENTO!$X$15,ROW(AK93)-ROW(AK$15),0),
ROUND(ROUND(OFFSET($P93,0,AK$13),15-13*ORÇAMENTO!$AF$7)*OFFSET(ORÇAMENTO!$W$15,ROW(AK93)-ROW(AK$15),0),15-13*ORÇAMENTO!$AF$11)),0)</f>
        <v>0</v>
      </c>
      <c r="AM93" s="181">
        <f ca="1">IF($D93&lt;&gt;"Serviço",0,IF(AND(AUTOEVENTO="Manual",$M93=1),0,IF(OFFSET(CRONOPLE!$F$14,$M93,AM$13)="",10^12,OFFSET(CRONOPLE!$F$14,$M93,AM$13))))</f>
        <v>1000000000000</v>
      </c>
      <c r="AN93" s="181">
        <f ca="1">IF($D93&lt;&gt;"Serviço",0,IF(AND(AUTOEVENTO="Manual",$M93=1),0,IF(OFFSET(CRONOPLE!$F$14,$M93,AN$13)="",10^12,OFFSET(CRONOPLE!$F$14,$M93,AN$13))))</f>
        <v>1000000000000</v>
      </c>
      <c r="AO93" s="181">
        <f ca="1">IF($D93&lt;&gt;"Serviço",0,IF(AND(AUTOEVENTO="Manual",$M93=1),0,IF(OFFSET(CRONOPLE!$F$14,$M93,AO$13)="",10^12,OFFSET(CRONOPLE!$F$14,$M93,AO$13))))</f>
        <v>1000000000000</v>
      </c>
      <c r="AP93" s="181">
        <f ca="1">IF($D93&lt;&gt;"Serviço",0,IF(AND(AUTOEVENTO="Manual",$M93=1),0,IF(OFFSET(CRONOPLE!$F$14,$M93,AP$13)="",10^12,OFFSET(CRONOPLE!$F$14,$M93,AP$13))))</f>
        <v>1000000000000</v>
      </c>
      <c r="AQ93" s="181">
        <f ca="1">IF($D93&lt;&gt;"Serviço",0,IF(AND(AUTOEVENTO="Manual",$M93=1),0,IF(OFFSET(CRONOPLE!$F$14,$M93,AQ$13)="",10^12,OFFSET(CRONOPLE!$F$14,$M93,AQ$13))))</f>
        <v>1000000000000</v>
      </c>
      <c r="AR93" s="181">
        <f ca="1">IF($D93&lt;&gt;"Serviço",0,IF(AND(AUTOEVENTO="Manual",$M93=1),0,IF(OFFSET(CRONOPLE!$F$14,$M93,AR$13)="",10^12,OFFSET(CRONOPLE!$F$14,$M93,AR$13))))</f>
        <v>1000000000000</v>
      </c>
      <c r="AS93" s="181">
        <f ca="1">IF($D93&lt;&gt;"Serviço",0,IF(AND(AUTOEVENTO="Manual",$M93=1),0,IF(OFFSET(CRONOPLE!$F$14,$M93,AS$13)="",10^12,OFFSET(CRONOPLE!$F$14,$M93,AS$13))))</f>
        <v>1000000000000</v>
      </c>
      <c r="AT93" s="181">
        <f ca="1">IF($D93&lt;&gt;"Serviço",0,IF(AND(AUTOEVENTO="Manual",$M93=1),0,IF(OFFSET(CRONOPLE!$F$14,$M93,AT$13)="",10^12,OFFSET(CRONOPLE!$F$14,$M93,AT$13))))</f>
        <v>1000000000000</v>
      </c>
      <c r="AU93" s="181">
        <f ca="1">IF($D93&lt;&gt;"Serviço",0,IF(AND(AUTOEVENTO="Manual",$M93=1),0,IF(OFFSET(CRONOPLE!$F$14,$M93,AU$13)="",10^12,OFFSET(CRONOPLE!$F$14,$M93,AU$13))))</f>
        <v>1000000000000</v>
      </c>
      <c r="AV93" s="181">
        <f ca="1">IF($D93&lt;&gt;"Serviço",0,IF(AND(AUTOEVENTO="Manual",$M93=1),0,IF(OFFSET(CRONOPLE!$F$14,$M93,AV$13)="",10^12,OFFSET(CRONOPLE!$F$14,$M93,AV$13))))</f>
        <v>1000000000000</v>
      </c>
      <c r="AX93" s="182">
        <f ca="1">IF($D93&lt;&gt;"Serviço",0,IF(OR(AND(AUTOEVENTO="Manual",$M93=1),$M93&gt;(ROW(PLE.lastrow)-ROW(PLE.firstrow))),0,IF(OFFSET(PLE!$G$14,$M93,AX$13)="",10^12,OFFSET(PLE!$G$14,$M93,AX$13))))</f>
        <v>1000000000000</v>
      </c>
      <c r="AY93" s="182">
        <f ca="1">IF($D93&lt;&gt;"Serviço",0,IF(OR(AND(AUTOEVENTO="Manual",$M93=1),$M93&gt;(ROW(PLE.lastrow)-ROW(PLE.firstrow))),0,IF(OFFSET(PLE!$G$14,$M93,AY$13)="",10^12,OFFSET(PLE!$G$14,$M93,AY$13))))</f>
        <v>1000000000000</v>
      </c>
      <c r="AZ93" s="182">
        <f ca="1">IF($D93&lt;&gt;"Serviço",0,IF(OR(AND(AUTOEVENTO="Manual",$M93=1),$M93&gt;(ROW(PLE.lastrow)-ROW(PLE.firstrow))),0,IF(OFFSET(PLE!$G$14,$M93,AZ$13)="",10^12,OFFSET(PLE!$G$14,$M93,AZ$13))))</f>
        <v>1000000000000</v>
      </c>
      <c r="BA93" s="182">
        <f ca="1">IF($D93&lt;&gt;"Serviço",0,IF(OR(AND(AUTOEVENTO="Manual",$M93=1),$M93&gt;(ROW(PLE.lastrow)-ROW(PLE.firstrow))),0,IF(OFFSET(PLE!$G$14,$M93,BA$13)="",10^12,OFFSET(PLE!$G$14,$M93,BA$13))))</f>
        <v>1000000000000</v>
      </c>
      <c r="BB93" s="182">
        <f ca="1">IF($D93&lt;&gt;"Serviço",0,IF(OR(AND(AUTOEVENTO="Manual",$M93=1),$M93&gt;(ROW(PLE.lastrow)-ROW(PLE.firstrow))),0,IF(OFFSET(PLE!$G$14,$M93,BB$13)="",10^12,OFFSET(PLE!$G$14,$M93,BB$13))))</f>
        <v>1000000000000</v>
      </c>
      <c r="BC93" s="182">
        <f ca="1">IF($D93&lt;&gt;"Serviço",0,IF(OR(AND(AUTOEVENTO="Manual",$M93=1),$M93&gt;(ROW(PLE.lastrow)-ROW(PLE.firstrow))),0,IF(OFFSET(PLE!$G$14,$M93,BC$13)="",10^12,OFFSET(PLE!$G$14,$M93,BC$13))))</f>
        <v>1000000000000</v>
      </c>
      <c r="BD93" s="182">
        <f ca="1">IF($D93&lt;&gt;"Serviço",0,IF(OR(AND(AUTOEVENTO="Manual",$M93=1),$M93&gt;(ROW(PLE.lastrow)-ROW(PLE.firstrow))),0,IF(OFFSET(PLE!$G$14,$M93,BD$13)="",10^12,OFFSET(PLE!$G$14,$M93,BD$13))))</f>
        <v>1000000000000</v>
      </c>
      <c r="BE93" s="182">
        <f ca="1">IF($D93&lt;&gt;"Serviço",0,IF(OR(AND(AUTOEVENTO="Manual",$M93=1),$M93&gt;(ROW(PLE.lastrow)-ROW(PLE.firstrow))),0,IF(OFFSET(PLE!$G$14,$M93,BE$13)="",10^12,OFFSET(PLE!$G$14,$M93,BE$13))))</f>
        <v>1000000000000</v>
      </c>
      <c r="BF93" s="182">
        <f ca="1">IF($D93&lt;&gt;"Serviço",0,IF(OR(AND(AUTOEVENTO="Manual",$M93=1),$M93&gt;(ROW(PLE.lastrow)-ROW(PLE.firstrow))),0,IF(OFFSET(PLE!$G$14,$M93,BF$13)="",10^12,OFFSET(PLE!$G$14,$M93,BF$13))))</f>
        <v>1000000000000</v>
      </c>
      <c r="BG93" s="182">
        <f ca="1">IF($D93&lt;&gt;"Serviço",0,IF(OR(AND(AUTOEVENTO="Manual",$M93=1),$M93&gt;(ROW(PLE.lastrow)-ROW(PLE.firstrow))),0,IF(OFFSET(PLE!$G$14,$M93,BG$13)="",10^12,OFFSET(PLE!$G$14,$M93,BG$13))))</f>
        <v>1000000000000</v>
      </c>
    </row>
    <row r="94" spans="1:59" ht="25.5" x14ac:dyDescent="0.2">
      <c r="A94" s="7" t="str">
        <f t="shared" ca="1" si="8"/>
        <v>69</v>
      </c>
      <c r="B94" s="7" t="str">
        <f ca="1">OFFSET(ORÇAMENTO!C$15,ROW(B94)-ROW(B$15),0)</f>
        <v>S</v>
      </c>
      <c r="C94" s="7" t="str">
        <f ca="1">OFFSET(ORÇAMENTO!L$15,ROW(C94)-ROW(C$15),0)</f>
        <v>F</v>
      </c>
      <c r="D94" s="118" t="str">
        <f ca="1">OFFSET(ORÇAMENTO!N$15,ROW(D94)-ROW(D$15),0)</f>
        <v>Serviço</v>
      </c>
      <c r="E94" s="119" t="str">
        <f ca="1">OFFSET(ORÇAMENTO!O$15,ROW(E94)-ROW(E$15),0)</f>
        <v>6.2.10.</v>
      </c>
      <c r="F94" s="172" t="str">
        <f ca="1">OFFSET(ORÇAMENTO!R$15,ROW(F94)-ROW(F$15),0)</f>
        <v>TOMADA 2P+T 20A 250V, CONJUNTO MONTADO PARA EMBUTIR 4" X 2" (PLACA + SUPORTE + MODULO)</v>
      </c>
      <c r="G94" s="173" t="str">
        <f ca="1">IF($D94&lt;&gt;"Serviço","",OFFSET(ORÇAMENTO!S$15,ROW(G94)-ROW(G$15),0))</f>
        <v>UN</v>
      </c>
      <c r="H94" s="124">
        <f ca="1">IF($D94&lt;&gt;"Serviço",0,IF(ACOMPANHAMENTO="BM",ROUND(OFFSET(ORÇAMENTO!AJ$15,ROW(H94)-ROW(H$15),0),15-13*ORÇAMENTO!$AF$7),SUMPRODUCT(($Q$12:$AA$12&lt;&gt;"")*ROUND($Q94:$AA94,15-13*ORÇAMENTO!$AF$7))))</f>
        <v>8</v>
      </c>
      <c r="I94" s="561"/>
      <c r="K94" s="174"/>
      <c r="L94" s="175" t="s">
        <v>255</v>
      </c>
      <c r="M94" s="176">
        <f ca="1">IF($D94&lt;&gt;"Serviço","",IF(AUTOEVENTO="manual",$A94,IF(ISERROR(MATCH($A94,$A$15:OFFSET($A94,-1,0),0)),MAX($M$15:OFFSET(M94,-1,0))+1,INDEX($M$15:OFFSET(M94,-1,0),MATCH($A94,$A$15:OFFSET($A94,-1,0),0)))))</f>
        <v>15</v>
      </c>
      <c r="N94" s="177" t="str">
        <f ca="1">IF($D94&lt;&gt;"Serviço","",IF(AUTOEVENTO="Manual",IF($A94=0,"&lt;-- defina o número do agrupador",OFFSET(EVENTOS!$D$14,$A94,0)),OFFSET($F$15,$A94,0)))</f>
        <v>INSTALAÇÕES ELÉTRICAS</v>
      </c>
      <c r="O94" s="178"/>
      <c r="Q94" s="178"/>
      <c r="R94" s="179"/>
      <c r="S94" s="179"/>
      <c r="T94" s="179"/>
      <c r="U94" s="179"/>
      <c r="V94" s="179"/>
      <c r="W94" s="179"/>
      <c r="X94" s="179"/>
      <c r="Y94" s="179"/>
      <c r="Z94" s="180"/>
      <c r="AB94" s="544">
        <f ca="1">IF(AND($D94="Serviço",AB$12&lt;&gt;0,$H94&gt;0,OR(AUTOEVENTO&lt;&gt;"manual",$M94&lt;&gt;1)),
IF(Import.TipoArredondamento&lt;&gt;"TransfereGOV",
ROUND(OFFSET($P94,0,AB$13),15-13*ORÇAMENTO!$AF$7)/$H94*OFFSET(ORÇAMENTO!$X$15,ROW(AB94)-ROW(AB$15),0),
ROUND(ROUND(OFFSET($P94,0,AB$13),15-13*ORÇAMENTO!$AF$7)*OFFSET(ORÇAMENTO!$W$15,ROW(AB94)-ROW(AB$15),0),15-13*ORÇAMENTO!$AF$11)),0)</f>
        <v>0</v>
      </c>
      <c r="AC94" s="545">
        <f ca="1">IF(AND($D94="Serviço",AC$12&lt;&gt;0,$H94&gt;0,OR(AUTOEVENTO&lt;&gt;"manual",$M94&lt;&gt;1)),
IF(Import.TipoArredondamento&lt;&gt;"TransfereGOV",
ROUND(OFFSET($P94,0,AC$13),15-13*ORÇAMENTO!$AF$7)/$H94*OFFSET(ORÇAMENTO!$X$15,ROW(AC94)-ROW(AC$15),0),
ROUND(ROUND(OFFSET($P94,0,AC$13),15-13*ORÇAMENTO!$AF$7)*OFFSET(ORÇAMENTO!$W$15,ROW(AC94)-ROW(AC$15),0),15-13*ORÇAMENTO!$AF$11)),0)</f>
        <v>0</v>
      </c>
      <c r="AD94" s="545">
        <f ca="1">IF(AND($D94="Serviço",AD$12&lt;&gt;0,$H94&gt;0,OR(AUTOEVENTO&lt;&gt;"manual",$M94&lt;&gt;1)),
IF(Import.TipoArredondamento&lt;&gt;"TransfereGOV",
ROUND(OFFSET($P94,0,AD$13),15-13*ORÇAMENTO!$AF$7)/$H94*OFFSET(ORÇAMENTO!$X$15,ROW(AD94)-ROW(AD$15),0),
ROUND(ROUND(OFFSET($P94,0,AD$13),15-13*ORÇAMENTO!$AF$7)*OFFSET(ORÇAMENTO!$W$15,ROW(AD94)-ROW(AD$15),0),15-13*ORÇAMENTO!$AF$11)),0)</f>
        <v>0</v>
      </c>
      <c r="AE94" s="545">
        <f ca="1">IF(AND($D94="Serviço",AE$12&lt;&gt;0,$H94&gt;0,OR(AUTOEVENTO&lt;&gt;"manual",$M94&lt;&gt;1)),
IF(Import.TipoArredondamento&lt;&gt;"TransfereGOV",
ROUND(OFFSET($P94,0,AE$13),15-13*ORÇAMENTO!$AF$7)/$H94*OFFSET(ORÇAMENTO!$X$15,ROW(AE94)-ROW(AE$15),0),
ROUND(ROUND(OFFSET($P94,0,AE$13),15-13*ORÇAMENTO!$AF$7)*OFFSET(ORÇAMENTO!$W$15,ROW(AE94)-ROW(AE$15),0),15-13*ORÇAMENTO!$AF$11)),0)</f>
        <v>0</v>
      </c>
      <c r="AF94" s="545">
        <f ca="1">IF(AND($D94="Serviço",AF$12&lt;&gt;0,$H94&gt;0,OR(AUTOEVENTO&lt;&gt;"manual",$M94&lt;&gt;1)),
IF(Import.TipoArredondamento&lt;&gt;"TransfereGOV",
ROUND(OFFSET($P94,0,AF$13),15-13*ORÇAMENTO!$AF$7)/$H94*OFFSET(ORÇAMENTO!$X$15,ROW(AF94)-ROW(AF$15),0),
ROUND(ROUND(OFFSET($P94,0,AF$13),15-13*ORÇAMENTO!$AF$7)*OFFSET(ORÇAMENTO!$W$15,ROW(AF94)-ROW(AF$15),0),15-13*ORÇAMENTO!$AF$11)),0)</f>
        <v>0</v>
      </c>
      <c r="AG94" s="545">
        <f ca="1">IF(AND($D94="Serviço",AG$12&lt;&gt;0,$H94&gt;0,OR(AUTOEVENTO&lt;&gt;"manual",$M94&lt;&gt;1)),
IF(Import.TipoArredondamento&lt;&gt;"TransfereGOV",
ROUND(OFFSET($P94,0,AG$13),15-13*ORÇAMENTO!$AF$7)/$H94*OFFSET(ORÇAMENTO!$X$15,ROW(AG94)-ROW(AG$15),0),
ROUND(ROUND(OFFSET($P94,0,AG$13),15-13*ORÇAMENTO!$AF$7)*OFFSET(ORÇAMENTO!$W$15,ROW(AG94)-ROW(AG$15),0),15-13*ORÇAMENTO!$AF$11)),0)</f>
        <v>0</v>
      </c>
      <c r="AH94" s="545">
        <f ca="1">IF(AND($D94="Serviço",AH$12&lt;&gt;0,$H94&gt;0,OR(AUTOEVENTO&lt;&gt;"manual",$M94&lt;&gt;1)),
IF(Import.TipoArredondamento&lt;&gt;"TransfereGOV",
ROUND(OFFSET($P94,0,AH$13),15-13*ORÇAMENTO!$AF$7)/$H94*OFFSET(ORÇAMENTO!$X$15,ROW(AH94)-ROW(AH$15),0),
ROUND(ROUND(OFFSET($P94,0,AH$13),15-13*ORÇAMENTO!$AF$7)*OFFSET(ORÇAMENTO!$W$15,ROW(AH94)-ROW(AH$15),0),15-13*ORÇAMENTO!$AF$11)),0)</f>
        <v>0</v>
      </c>
      <c r="AI94" s="545">
        <f ca="1">IF(AND($D94="Serviço",AI$12&lt;&gt;0,$H94&gt;0,OR(AUTOEVENTO&lt;&gt;"manual",$M94&lt;&gt;1)),
IF(Import.TipoArredondamento&lt;&gt;"TransfereGOV",
ROUND(OFFSET($P94,0,AI$13),15-13*ORÇAMENTO!$AF$7)/$H94*OFFSET(ORÇAMENTO!$X$15,ROW(AI94)-ROW(AI$15),0),
ROUND(ROUND(OFFSET($P94,0,AI$13),15-13*ORÇAMENTO!$AF$7)*OFFSET(ORÇAMENTO!$W$15,ROW(AI94)-ROW(AI$15),0),15-13*ORÇAMENTO!$AF$11)),0)</f>
        <v>0</v>
      </c>
      <c r="AJ94" s="545">
        <f ca="1">IF(AND($D94="Serviço",AJ$12&lt;&gt;0,$H94&gt;0,OR(AUTOEVENTO&lt;&gt;"manual",$M94&lt;&gt;1)),
IF(Import.TipoArredondamento&lt;&gt;"TransfereGOV",
ROUND(OFFSET($P94,0,AJ$13),15-13*ORÇAMENTO!$AF$7)/$H94*OFFSET(ORÇAMENTO!$X$15,ROW(AJ94)-ROW(AJ$15),0),
ROUND(ROUND(OFFSET($P94,0,AJ$13),15-13*ORÇAMENTO!$AF$7)*OFFSET(ORÇAMENTO!$W$15,ROW(AJ94)-ROW(AJ$15),0),15-13*ORÇAMENTO!$AF$11)),0)</f>
        <v>0</v>
      </c>
      <c r="AK94" s="546">
        <f ca="1">IF(AND($D94="Serviço",AK$12&lt;&gt;0,$H94&gt;0,OR(AUTOEVENTO&lt;&gt;"manual",$M94&lt;&gt;1)),
IF(Import.TipoArredondamento&lt;&gt;"TransfereGOV",
ROUND(OFFSET($P94,0,AK$13),15-13*ORÇAMENTO!$AF$7)/$H94*OFFSET(ORÇAMENTO!$X$15,ROW(AK94)-ROW(AK$15),0),
ROUND(ROUND(OFFSET($P94,0,AK$13),15-13*ORÇAMENTO!$AF$7)*OFFSET(ORÇAMENTO!$W$15,ROW(AK94)-ROW(AK$15),0),15-13*ORÇAMENTO!$AF$11)),0)</f>
        <v>0</v>
      </c>
      <c r="AM94" s="181">
        <f ca="1">IF($D94&lt;&gt;"Serviço",0,IF(AND(AUTOEVENTO="Manual",$M94=1),0,IF(OFFSET(CRONOPLE!$F$14,$M94,AM$13)="",10^12,OFFSET(CRONOPLE!$F$14,$M94,AM$13))))</f>
        <v>1000000000000</v>
      </c>
      <c r="AN94" s="181">
        <f ca="1">IF($D94&lt;&gt;"Serviço",0,IF(AND(AUTOEVENTO="Manual",$M94=1),0,IF(OFFSET(CRONOPLE!$F$14,$M94,AN$13)="",10^12,OFFSET(CRONOPLE!$F$14,$M94,AN$13))))</f>
        <v>1000000000000</v>
      </c>
      <c r="AO94" s="181">
        <f ca="1">IF($D94&lt;&gt;"Serviço",0,IF(AND(AUTOEVENTO="Manual",$M94=1),0,IF(OFFSET(CRONOPLE!$F$14,$M94,AO$13)="",10^12,OFFSET(CRONOPLE!$F$14,$M94,AO$13))))</f>
        <v>1000000000000</v>
      </c>
      <c r="AP94" s="181">
        <f ca="1">IF($D94&lt;&gt;"Serviço",0,IF(AND(AUTOEVENTO="Manual",$M94=1),0,IF(OFFSET(CRONOPLE!$F$14,$M94,AP$13)="",10^12,OFFSET(CRONOPLE!$F$14,$M94,AP$13))))</f>
        <v>1000000000000</v>
      </c>
      <c r="AQ94" s="181">
        <f ca="1">IF($D94&lt;&gt;"Serviço",0,IF(AND(AUTOEVENTO="Manual",$M94=1),0,IF(OFFSET(CRONOPLE!$F$14,$M94,AQ$13)="",10^12,OFFSET(CRONOPLE!$F$14,$M94,AQ$13))))</f>
        <v>1000000000000</v>
      </c>
      <c r="AR94" s="181">
        <f ca="1">IF($D94&lt;&gt;"Serviço",0,IF(AND(AUTOEVENTO="Manual",$M94=1),0,IF(OFFSET(CRONOPLE!$F$14,$M94,AR$13)="",10^12,OFFSET(CRONOPLE!$F$14,$M94,AR$13))))</f>
        <v>1000000000000</v>
      </c>
      <c r="AS94" s="181">
        <f ca="1">IF($D94&lt;&gt;"Serviço",0,IF(AND(AUTOEVENTO="Manual",$M94=1),0,IF(OFFSET(CRONOPLE!$F$14,$M94,AS$13)="",10^12,OFFSET(CRONOPLE!$F$14,$M94,AS$13))))</f>
        <v>1000000000000</v>
      </c>
      <c r="AT94" s="181">
        <f ca="1">IF($D94&lt;&gt;"Serviço",0,IF(AND(AUTOEVENTO="Manual",$M94=1),0,IF(OFFSET(CRONOPLE!$F$14,$M94,AT$13)="",10^12,OFFSET(CRONOPLE!$F$14,$M94,AT$13))))</f>
        <v>1000000000000</v>
      </c>
      <c r="AU94" s="181">
        <f ca="1">IF($D94&lt;&gt;"Serviço",0,IF(AND(AUTOEVENTO="Manual",$M94=1),0,IF(OFFSET(CRONOPLE!$F$14,$M94,AU$13)="",10^12,OFFSET(CRONOPLE!$F$14,$M94,AU$13))))</f>
        <v>1000000000000</v>
      </c>
      <c r="AV94" s="181">
        <f ca="1">IF($D94&lt;&gt;"Serviço",0,IF(AND(AUTOEVENTO="Manual",$M94=1),0,IF(OFFSET(CRONOPLE!$F$14,$M94,AV$13)="",10^12,OFFSET(CRONOPLE!$F$14,$M94,AV$13))))</f>
        <v>1000000000000</v>
      </c>
      <c r="AX94" s="182">
        <f ca="1">IF($D94&lt;&gt;"Serviço",0,IF(OR(AND(AUTOEVENTO="Manual",$M94=1),$M94&gt;(ROW(PLE.lastrow)-ROW(PLE.firstrow))),0,IF(OFFSET(PLE!$G$14,$M94,AX$13)="",10^12,OFFSET(PLE!$G$14,$M94,AX$13))))</f>
        <v>1000000000000</v>
      </c>
      <c r="AY94" s="182">
        <f ca="1">IF($D94&lt;&gt;"Serviço",0,IF(OR(AND(AUTOEVENTO="Manual",$M94=1),$M94&gt;(ROW(PLE.lastrow)-ROW(PLE.firstrow))),0,IF(OFFSET(PLE!$G$14,$M94,AY$13)="",10^12,OFFSET(PLE!$G$14,$M94,AY$13))))</f>
        <v>1000000000000</v>
      </c>
      <c r="AZ94" s="182">
        <f ca="1">IF($D94&lt;&gt;"Serviço",0,IF(OR(AND(AUTOEVENTO="Manual",$M94=1),$M94&gt;(ROW(PLE.lastrow)-ROW(PLE.firstrow))),0,IF(OFFSET(PLE!$G$14,$M94,AZ$13)="",10^12,OFFSET(PLE!$G$14,$M94,AZ$13))))</f>
        <v>1000000000000</v>
      </c>
      <c r="BA94" s="182">
        <f ca="1">IF($D94&lt;&gt;"Serviço",0,IF(OR(AND(AUTOEVENTO="Manual",$M94=1),$M94&gt;(ROW(PLE.lastrow)-ROW(PLE.firstrow))),0,IF(OFFSET(PLE!$G$14,$M94,BA$13)="",10^12,OFFSET(PLE!$G$14,$M94,BA$13))))</f>
        <v>1000000000000</v>
      </c>
      <c r="BB94" s="182">
        <f ca="1">IF($D94&lt;&gt;"Serviço",0,IF(OR(AND(AUTOEVENTO="Manual",$M94=1),$M94&gt;(ROW(PLE.lastrow)-ROW(PLE.firstrow))),0,IF(OFFSET(PLE!$G$14,$M94,BB$13)="",10^12,OFFSET(PLE!$G$14,$M94,BB$13))))</f>
        <v>1000000000000</v>
      </c>
      <c r="BC94" s="182">
        <f ca="1">IF($D94&lt;&gt;"Serviço",0,IF(OR(AND(AUTOEVENTO="Manual",$M94=1),$M94&gt;(ROW(PLE.lastrow)-ROW(PLE.firstrow))),0,IF(OFFSET(PLE!$G$14,$M94,BC$13)="",10^12,OFFSET(PLE!$G$14,$M94,BC$13))))</f>
        <v>1000000000000</v>
      </c>
      <c r="BD94" s="182">
        <f ca="1">IF($D94&lt;&gt;"Serviço",0,IF(OR(AND(AUTOEVENTO="Manual",$M94=1),$M94&gt;(ROW(PLE.lastrow)-ROW(PLE.firstrow))),0,IF(OFFSET(PLE!$G$14,$M94,BD$13)="",10^12,OFFSET(PLE!$G$14,$M94,BD$13))))</f>
        <v>1000000000000</v>
      </c>
      <c r="BE94" s="182">
        <f ca="1">IF($D94&lt;&gt;"Serviço",0,IF(OR(AND(AUTOEVENTO="Manual",$M94=1),$M94&gt;(ROW(PLE.lastrow)-ROW(PLE.firstrow))),0,IF(OFFSET(PLE!$G$14,$M94,BE$13)="",10^12,OFFSET(PLE!$G$14,$M94,BE$13))))</f>
        <v>1000000000000</v>
      </c>
      <c r="BF94" s="182">
        <f ca="1">IF($D94&lt;&gt;"Serviço",0,IF(OR(AND(AUTOEVENTO="Manual",$M94=1),$M94&gt;(ROW(PLE.lastrow)-ROW(PLE.firstrow))),0,IF(OFFSET(PLE!$G$14,$M94,BF$13)="",10^12,OFFSET(PLE!$G$14,$M94,BF$13))))</f>
        <v>1000000000000</v>
      </c>
      <c r="BG94" s="182">
        <f ca="1">IF($D94&lt;&gt;"Serviço",0,IF(OR(AND(AUTOEVENTO="Manual",$M94=1),$M94&gt;(ROW(PLE.lastrow)-ROW(PLE.firstrow))),0,IF(OFFSET(PLE!$G$14,$M94,BG$13)="",10^12,OFFSET(PLE!$G$14,$M94,BG$13))))</f>
        <v>1000000000000</v>
      </c>
    </row>
    <row r="95" spans="1:59" ht="25.5" x14ac:dyDescent="0.2">
      <c r="A95" s="7" t="str">
        <f t="shared" ca="1" si="8"/>
        <v>69</v>
      </c>
      <c r="B95" s="7" t="str">
        <f ca="1">OFFSET(ORÇAMENTO!C$15,ROW(B95)-ROW(B$15),0)</f>
        <v>S</v>
      </c>
      <c r="C95" s="7" t="str">
        <f ca="1">OFFSET(ORÇAMENTO!L$15,ROW(C95)-ROW(C$15),0)</f>
        <v>F</v>
      </c>
      <c r="D95" s="118" t="str">
        <f ca="1">OFFSET(ORÇAMENTO!N$15,ROW(D95)-ROW(D$15),0)</f>
        <v>Serviço</v>
      </c>
      <c r="E95" s="119" t="str">
        <f ca="1">OFFSET(ORÇAMENTO!O$15,ROW(E95)-ROW(E$15),0)</f>
        <v>6.2.11.</v>
      </c>
      <c r="F95" s="172" t="str">
        <f ca="1">OFFSET(ORÇAMENTO!R$15,ROW(F95)-ROW(F$15),0)</f>
        <v>FIO DE COBRE, SOLIDO, CLASSE 1, ISOLACAO EM PVC/A, ANTICHAMA BWF-B, 450/750V, SECAO NOMINAL 1,5 MM2</v>
      </c>
      <c r="G95" s="173" t="str">
        <f ca="1">IF($D95&lt;&gt;"Serviço","",OFFSET(ORÇAMENTO!S$15,ROW(G95)-ROW(G$15),0))</f>
        <v>M</v>
      </c>
      <c r="H95" s="124">
        <f ca="1">IF($D95&lt;&gt;"Serviço",0,IF(ACOMPANHAMENTO="BM",ROUND(OFFSET(ORÇAMENTO!AJ$15,ROW(H95)-ROW(H$15),0),15-13*ORÇAMENTO!$AF$7),SUMPRODUCT(($Q$12:$AA$12&lt;&gt;"")*ROUND($Q95:$AA95,15-13*ORÇAMENTO!$AF$7))))</f>
        <v>63</v>
      </c>
      <c r="I95" s="561"/>
      <c r="K95" s="174"/>
      <c r="L95" s="175" t="s">
        <v>255</v>
      </c>
      <c r="M95" s="176">
        <f ca="1">IF($D95&lt;&gt;"Serviço","",IF(AUTOEVENTO="manual",$A95,IF(ISERROR(MATCH($A95,$A$15:OFFSET($A95,-1,0),0)),MAX($M$15:OFFSET(M95,-1,0))+1,INDEX($M$15:OFFSET(M95,-1,0),MATCH($A95,$A$15:OFFSET($A95,-1,0),0)))))</f>
        <v>15</v>
      </c>
      <c r="N95" s="177" t="str">
        <f ca="1">IF($D95&lt;&gt;"Serviço","",IF(AUTOEVENTO="Manual",IF($A95=0,"&lt;-- defina o número do agrupador",OFFSET(EVENTOS!$D$14,$A95,0)),OFFSET($F$15,$A95,0)))</f>
        <v>INSTALAÇÕES ELÉTRICAS</v>
      </c>
      <c r="O95" s="178"/>
      <c r="Q95" s="178"/>
      <c r="R95" s="179"/>
      <c r="S95" s="179"/>
      <c r="T95" s="179"/>
      <c r="U95" s="179"/>
      <c r="V95" s="179"/>
      <c r="W95" s="179"/>
      <c r="X95" s="179"/>
      <c r="Y95" s="179"/>
      <c r="Z95" s="180"/>
      <c r="AB95" s="544">
        <f ca="1">IF(AND($D95="Serviço",AB$12&lt;&gt;0,$H95&gt;0,OR(AUTOEVENTO&lt;&gt;"manual",$M95&lt;&gt;1)),
IF(Import.TipoArredondamento&lt;&gt;"TransfereGOV",
ROUND(OFFSET($P95,0,AB$13),15-13*ORÇAMENTO!$AF$7)/$H95*OFFSET(ORÇAMENTO!$X$15,ROW(AB95)-ROW(AB$15),0),
ROUND(ROUND(OFFSET($P95,0,AB$13),15-13*ORÇAMENTO!$AF$7)*OFFSET(ORÇAMENTO!$W$15,ROW(AB95)-ROW(AB$15),0),15-13*ORÇAMENTO!$AF$11)),0)</f>
        <v>0</v>
      </c>
      <c r="AC95" s="545">
        <f ca="1">IF(AND($D95="Serviço",AC$12&lt;&gt;0,$H95&gt;0,OR(AUTOEVENTO&lt;&gt;"manual",$M95&lt;&gt;1)),
IF(Import.TipoArredondamento&lt;&gt;"TransfereGOV",
ROUND(OFFSET($P95,0,AC$13),15-13*ORÇAMENTO!$AF$7)/$H95*OFFSET(ORÇAMENTO!$X$15,ROW(AC95)-ROW(AC$15),0),
ROUND(ROUND(OFFSET($P95,0,AC$13),15-13*ORÇAMENTO!$AF$7)*OFFSET(ORÇAMENTO!$W$15,ROW(AC95)-ROW(AC$15),0),15-13*ORÇAMENTO!$AF$11)),0)</f>
        <v>0</v>
      </c>
      <c r="AD95" s="545">
        <f ca="1">IF(AND($D95="Serviço",AD$12&lt;&gt;0,$H95&gt;0,OR(AUTOEVENTO&lt;&gt;"manual",$M95&lt;&gt;1)),
IF(Import.TipoArredondamento&lt;&gt;"TransfereGOV",
ROUND(OFFSET($P95,0,AD$13),15-13*ORÇAMENTO!$AF$7)/$H95*OFFSET(ORÇAMENTO!$X$15,ROW(AD95)-ROW(AD$15),0),
ROUND(ROUND(OFFSET($P95,0,AD$13),15-13*ORÇAMENTO!$AF$7)*OFFSET(ORÇAMENTO!$W$15,ROW(AD95)-ROW(AD$15),0),15-13*ORÇAMENTO!$AF$11)),0)</f>
        <v>0</v>
      </c>
      <c r="AE95" s="545">
        <f ca="1">IF(AND($D95="Serviço",AE$12&lt;&gt;0,$H95&gt;0,OR(AUTOEVENTO&lt;&gt;"manual",$M95&lt;&gt;1)),
IF(Import.TipoArredondamento&lt;&gt;"TransfereGOV",
ROUND(OFFSET($P95,0,AE$13),15-13*ORÇAMENTO!$AF$7)/$H95*OFFSET(ORÇAMENTO!$X$15,ROW(AE95)-ROW(AE$15),0),
ROUND(ROUND(OFFSET($P95,0,AE$13),15-13*ORÇAMENTO!$AF$7)*OFFSET(ORÇAMENTO!$W$15,ROW(AE95)-ROW(AE$15),0),15-13*ORÇAMENTO!$AF$11)),0)</f>
        <v>0</v>
      </c>
      <c r="AF95" s="545">
        <f ca="1">IF(AND($D95="Serviço",AF$12&lt;&gt;0,$H95&gt;0,OR(AUTOEVENTO&lt;&gt;"manual",$M95&lt;&gt;1)),
IF(Import.TipoArredondamento&lt;&gt;"TransfereGOV",
ROUND(OFFSET($P95,0,AF$13),15-13*ORÇAMENTO!$AF$7)/$H95*OFFSET(ORÇAMENTO!$X$15,ROW(AF95)-ROW(AF$15),0),
ROUND(ROUND(OFFSET($P95,0,AF$13),15-13*ORÇAMENTO!$AF$7)*OFFSET(ORÇAMENTO!$W$15,ROW(AF95)-ROW(AF$15),0),15-13*ORÇAMENTO!$AF$11)),0)</f>
        <v>0</v>
      </c>
      <c r="AG95" s="545">
        <f ca="1">IF(AND($D95="Serviço",AG$12&lt;&gt;0,$H95&gt;0,OR(AUTOEVENTO&lt;&gt;"manual",$M95&lt;&gt;1)),
IF(Import.TipoArredondamento&lt;&gt;"TransfereGOV",
ROUND(OFFSET($P95,0,AG$13),15-13*ORÇAMENTO!$AF$7)/$H95*OFFSET(ORÇAMENTO!$X$15,ROW(AG95)-ROW(AG$15),0),
ROUND(ROUND(OFFSET($P95,0,AG$13),15-13*ORÇAMENTO!$AF$7)*OFFSET(ORÇAMENTO!$W$15,ROW(AG95)-ROW(AG$15),0),15-13*ORÇAMENTO!$AF$11)),0)</f>
        <v>0</v>
      </c>
      <c r="AH95" s="545">
        <f ca="1">IF(AND($D95="Serviço",AH$12&lt;&gt;0,$H95&gt;0,OR(AUTOEVENTO&lt;&gt;"manual",$M95&lt;&gt;1)),
IF(Import.TipoArredondamento&lt;&gt;"TransfereGOV",
ROUND(OFFSET($P95,0,AH$13),15-13*ORÇAMENTO!$AF$7)/$H95*OFFSET(ORÇAMENTO!$X$15,ROW(AH95)-ROW(AH$15),0),
ROUND(ROUND(OFFSET($P95,0,AH$13),15-13*ORÇAMENTO!$AF$7)*OFFSET(ORÇAMENTO!$W$15,ROW(AH95)-ROW(AH$15),0),15-13*ORÇAMENTO!$AF$11)),0)</f>
        <v>0</v>
      </c>
      <c r="AI95" s="545">
        <f ca="1">IF(AND($D95="Serviço",AI$12&lt;&gt;0,$H95&gt;0,OR(AUTOEVENTO&lt;&gt;"manual",$M95&lt;&gt;1)),
IF(Import.TipoArredondamento&lt;&gt;"TransfereGOV",
ROUND(OFFSET($P95,0,AI$13),15-13*ORÇAMENTO!$AF$7)/$H95*OFFSET(ORÇAMENTO!$X$15,ROW(AI95)-ROW(AI$15),0),
ROUND(ROUND(OFFSET($P95,0,AI$13),15-13*ORÇAMENTO!$AF$7)*OFFSET(ORÇAMENTO!$W$15,ROW(AI95)-ROW(AI$15),0),15-13*ORÇAMENTO!$AF$11)),0)</f>
        <v>0</v>
      </c>
      <c r="AJ95" s="545">
        <f ca="1">IF(AND($D95="Serviço",AJ$12&lt;&gt;0,$H95&gt;0,OR(AUTOEVENTO&lt;&gt;"manual",$M95&lt;&gt;1)),
IF(Import.TipoArredondamento&lt;&gt;"TransfereGOV",
ROUND(OFFSET($P95,0,AJ$13),15-13*ORÇAMENTO!$AF$7)/$H95*OFFSET(ORÇAMENTO!$X$15,ROW(AJ95)-ROW(AJ$15),0),
ROUND(ROUND(OFFSET($P95,0,AJ$13),15-13*ORÇAMENTO!$AF$7)*OFFSET(ORÇAMENTO!$W$15,ROW(AJ95)-ROW(AJ$15),0),15-13*ORÇAMENTO!$AF$11)),0)</f>
        <v>0</v>
      </c>
      <c r="AK95" s="546">
        <f ca="1">IF(AND($D95="Serviço",AK$12&lt;&gt;0,$H95&gt;0,OR(AUTOEVENTO&lt;&gt;"manual",$M95&lt;&gt;1)),
IF(Import.TipoArredondamento&lt;&gt;"TransfereGOV",
ROUND(OFFSET($P95,0,AK$13),15-13*ORÇAMENTO!$AF$7)/$H95*OFFSET(ORÇAMENTO!$X$15,ROW(AK95)-ROW(AK$15),0),
ROUND(ROUND(OFFSET($P95,0,AK$13),15-13*ORÇAMENTO!$AF$7)*OFFSET(ORÇAMENTO!$W$15,ROW(AK95)-ROW(AK$15),0),15-13*ORÇAMENTO!$AF$11)),0)</f>
        <v>0</v>
      </c>
      <c r="AM95" s="181">
        <f ca="1">IF($D95&lt;&gt;"Serviço",0,IF(AND(AUTOEVENTO="Manual",$M95=1),0,IF(OFFSET(CRONOPLE!$F$14,$M95,AM$13)="",10^12,OFFSET(CRONOPLE!$F$14,$M95,AM$13))))</f>
        <v>1000000000000</v>
      </c>
      <c r="AN95" s="181">
        <f ca="1">IF($D95&lt;&gt;"Serviço",0,IF(AND(AUTOEVENTO="Manual",$M95=1),0,IF(OFFSET(CRONOPLE!$F$14,$M95,AN$13)="",10^12,OFFSET(CRONOPLE!$F$14,$M95,AN$13))))</f>
        <v>1000000000000</v>
      </c>
      <c r="AO95" s="181">
        <f ca="1">IF($D95&lt;&gt;"Serviço",0,IF(AND(AUTOEVENTO="Manual",$M95=1),0,IF(OFFSET(CRONOPLE!$F$14,$M95,AO$13)="",10^12,OFFSET(CRONOPLE!$F$14,$M95,AO$13))))</f>
        <v>1000000000000</v>
      </c>
      <c r="AP95" s="181">
        <f ca="1">IF($D95&lt;&gt;"Serviço",0,IF(AND(AUTOEVENTO="Manual",$M95=1),0,IF(OFFSET(CRONOPLE!$F$14,$M95,AP$13)="",10^12,OFFSET(CRONOPLE!$F$14,$M95,AP$13))))</f>
        <v>1000000000000</v>
      </c>
      <c r="AQ95" s="181">
        <f ca="1">IF($D95&lt;&gt;"Serviço",0,IF(AND(AUTOEVENTO="Manual",$M95=1),0,IF(OFFSET(CRONOPLE!$F$14,$M95,AQ$13)="",10^12,OFFSET(CRONOPLE!$F$14,$M95,AQ$13))))</f>
        <v>1000000000000</v>
      </c>
      <c r="AR95" s="181">
        <f ca="1">IF($D95&lt;&gt;"Serviço",0,IF(AND(AUTOEVENTO="Manual",$M95=1),0,IF(OFFSET(CRONOPLE!$F$14,$M95,AR$13)="",10^12,OFFSET(CRONOPLE!$F$14,$M95,AR$13))))</f>
        <v>1000000000000</v>
      </c>
      <c r="AS95" s="181">
        <f ca="1">IF($D95&lt;&gt;"Serviço",0,IF(AND(AUTOEVENTO="Manual",$M95=1),0,IF(OFFSET(CRONOPLE!$F$14,$M95,AS$13)="",10^12,OFFSET(CRONOPLE!$F$14,$M95,AS$13))))</f>
        <v>1000000000000</v>
      </c>
      <c r="AT95" s="181">
        <f ca="1">IF($D95&lt;&gt;"Serviço",0,IF(AND(AUTOEVENTO="Manual",$M95=1),0,IF(OFFSET(CRONOPLE!$F$14,$M95,AT$13)="",10^12,OFFSET(CRONOPLE!$F$14,$M95,AT$13))))</f>
        <v>1000000000000</v>
      </c>
      <c r="AU95" s="181">
        <f ca="1">IF($D95&lt;&gt;"Serviço",0,IF(AND(AUTOEVENTO="Manual",$M95=1),0,IF(OFFSET(CRONOPLE!$F$14,$M95,AU$13)="",10^12,OFFSET(CRONOPLE!$F$14,$M95,AU$13))))</f>
        <v>1000000000000</v>
      </c>
      <c r="AV95" s="181">
        <f ca="1">IF($D95&lt;&gt;"Serviço",0,IF(AND(AUTOEVENTO="Manual",$M95=1),0,IF(OFFSET(CRONOPLE!$F$14,$M95,AV$13)="",10^12,OFFSET(CRONOPLE!$F$14,$M95,AV$13))))</f>
        <v>1000000000000</v>
      </c>
      <c r="AX95" s="182">
        <f ca="1">IF($D95&lt;&gt;"Serviço",0,IF(OR(AND(AUTOEVENTO="Manual",$M95=1),$M95&gt;(ROW(PLE.lastrow)-ROW(PLE.firstrow))),0,IF(OFFSET(PLE!$G$14,$M95,AX$13)="",10^12,OFFSET(PLE!$G$14,$M95,AX$13))))</f>
        <v>1000000000000</v>
      </c>
      <c r="AY95" s="182">
        <f ca="1">IF($D95&lt;&gt;"Serviço",0,IF(OR(AND(AUTOEVENTO="Manual",$M95=1),$M95&gt;(ROW(PLE.lastrow)-ROW(PLE.firstrow))),0,IF(OFFSET(PLE!$G$14,$M95,AY$13)="",10^12,OFFSET(PLE!$G$14,$M95,AY$13))))</f>
        <v>1000000000000</v>
      </c>
      <c r="AZ95" s="182">
        <f ca="1">IF($D95&lt;&gt;"Serviço",0,IF(OR(AND(AUTOEVENTO="Manual",$M95=1),$M95&gt;(ROW(PLE.lastrow)-ROW(PLE.firstrow))),0,IF(OFFSET(PLE!$G$14,$M95,AZ$13)="",10^12,OFFSET(PLE!$G$14,$M95,AZ$13))))</f>
        <v>1000000000000</v>
      </c>
      <c r="BA95" s="182">
        <f ca="1">IF($D95&lt;&gt;"Serviço",0,IF(OR(AND(AUTOEVENTO="Manual",$M95=1),$M95&gt;(ROW(PLE.lastrow)-ROW(PLE.firstrow))),0,IF(OFFSET(PLE!$G$14,$M95,BA$13)="",10^12,OFFSET(PLE!$G$14,$M95,BA$13))))</f>
        <v>1000000000000</v>
      </c>
      <c r="BB95" s="182">
        <f ca="1">IF($D95&lt;&gt;"Serviço",0,IF(OR(AND(AUTOEVENTO="Manual",$M95=1),$M95&gt;(ROW(PLE.lastrow)-ROW(PLE.firstrow))),0,IF(OFFSET(PLE!$G$14,$M95,BB$13)="",10^12,OFFSET(PLE!$G$14,$M95,BB$13))))</f>
        <v>1000000000000</v>
      </c>
      <c r="BC95" s="182">
        <f ca="1">IF($D95&lt;&gt;"Serviço",0,IF(OR(AND(AUTOEVENTO="Manual",$M95=1),$M95&gt;(ROW(PLE.lastrow)-ROW(PLE.firstrow))),0,IF(OFFSET(PLE!$G$14,$M95,BC$13)="",10^12,OFFSET(PLE!$G$14,$M95,BC$13))))</f>
        <v>1000000000000</v>
      </c>
      <c r="BD95" s="182">
        <f ca="1">IF($D95&lt;&gt;"Serviço",0,IF(OR(AND(AUTOEVENTO="Manual",$M95=1),$M95&gt;(ROW(PLE.lastrow)-ROW(PLE.firstrow))),0,IF(OFFSET(PLE!$G$14,$M95,BD$13)="",10^12,OFFSET(PLE!$G$14,$M95,BD$13))))</f>
        <v>1000000000000</v>
      </c>
      <c r="BE95" s="182">
        <f ca="1">IF($D95&lt;&gt;"Serviço",0,IF(OR(AND(AUTOEVENTO="Manual",$M95=1),$M95&gt;(ROW(PLE.lastrow)-ROW(PLE.firstrow))),0,IF(OFFSET(PLE!$G$14,$M95,BE$13)="",10^12,OFFSET(PLE!$G$14,$M95,BE$13))))</f>
        <v>1000000000000</v>
      </c>
      <c r="BF95" s="182">
        <f ca="1">IF($D95&lt;&gt;"Serviço",0,IF(OR(AND(AUTOEVENTO="Manual",$M95=1),$M95&gt;(ROW(PLE.lastrow)-ROW(PLE.firstrow))),0,IF(OFFSET(PLE!$G$14,$M95,BF$13)="",10^12,OFFSET(PLE!$G$14,$M95,BF$13))))</f>
        <v>1000000000000</v>
      </c>
      <c r="BG95" s="182">
        <f ca="1">IF($D95&lt;&gt;"Serviço",0,IF(OR(AND(AUTOEVENTO="Manual",$M95=1),$M95&gt;(ROW(PLE.lastrow)-ROW(PLE.firstrow))),0,IF(OFFSET(PLE!$G$14,$M95,BG$13)="",10^12,OFFSET(PLE!$G$14,$M95,BG$13))))</f>
        <v>1000000000000</v>
      </c>
    </row>
    <row r="96" spans="1:59" ht="25.5" x14ac:dyDescent="0.2">
      <c r="A96" s="7" t="str">
        <f t="shared" ca="1" si="8"/>
        <v>69</v>
      </c>
      <c r="B96" s="7" t="str">
        <f ca="1">OFFSET(ORÇAMENTO!C$15,ROW(B96)-ROW(B$15),0)</f>
        <v>S</v>
      </c>
      <c r="C96" s="7" t="str">
        <f ca="1">OFFSET(ORÇAMENTO!L$15,ROW(C96)-ROW(C$15),0)</f>
        <v>F</v>
      </c>
      <c r="D96" s="118" t="str">
        <f ca="1">OFFSET(ORÇAMENTO!N$15,ROW(D96)-ROW(D$15),0)</f>
        <v>Serviço</v>
      </c>
      <c r="E96" s="119" t="str">
        <f ca="1">OFFSET(ORÇAMENTO!O$15,ROW(E96)-ROW(E$15),0)</f>
        <v>6.2.12.</v>
      </c>
      <c r="F96" s="172" t="str">
        <f ca="1">OFFSET(ORÇAMENTO!R$15,ROW(F96)-ROW(F$15),0)</f>
        <v>FIO DE COBRE, SOLIDO, CLASSE 1, ISOLACAO EM PVC/A, ANTICHAMA BWF-B, 450/750V, SECAO NOMINAL 2,5 MM2</v>
      </c>
      <c r="G96" s="173" t="str">
        <f ca="1">IF($D96&lt;&gt;"Serviço","",OFFSET(ORÇAMENTO!S$15,ROW(G96)-ROW(G$15),0))</f>
        <v>M</v>
      </c>
      <c r="H96" s="124">
        <f ca="1">IF($D96&lt;&gt;"Serviço",0,IF(ACOMPANHAMENTO="BM",ROUND(OFFSET(ORÇAMENTO!AJ$15,ROW(H96)-ROW(H$15),0),15-13*ORÇAMENTO!$AF$7),SUMPRODUCT(($Q$12:$AA$12&lt;&gt;"")*ROUND($Q96:$AA96,15-13*ORÇAMENTO!$AF$7))))</f>
        <v>460</v>
      </c>
      <c r="I96" s="561"/>
      <c r="K96" s="174"/>
      <c r="L96" s="175" t="s">
        <v>255</v>
      </c>
      <c r="M96" s="176">
        <f ca="1">IF($D96&lt;&gt;"Serviço","",IF(AUTOEVENTO="manual",$A96,IF(ISERROR(MATCH($A96,$A$15:OFFSET($A96,-1,0),0)),MAX($M$15:OFFSET(M96,-1,0))+1,INDEX($M$15:OFFSET(M96,-1,0),MATCH($A96,$A$15:OFFSET($A96,-1,0),0)))))</f>
        <v>15</v>
      </c>
      <c r="N96" s="177" t="str">
        <f ca="1">IF($D96&lt;&gt;"Serviço","",IF(AUTOEVENTO="Manual",IF($A96=0,"&lt;-- defina o número do agrupador",OFFSET(EVENTOS!$D$14,$A96,0)),OFFSET($F$15,$A96,0)))</f>
        <v>INSTALAÇÕES ELÉTRICAS</v>
      </c>
      <c r="O96" s="178"/>
      <c r="Q96" s="178"/>
      <c r="R96" s="179"/>
      <c r="S96" s="179"/>
      <c r="T96" s="179"/>
      <c r="U96" s="179"/>
      <c r="V96" s="179"/>
      <c r="W96" s="179"/>
      <c r="X96" s="179"/>
      <c r="Y96" s="179"/>
      <c r="Z96" s="180"/>
      <c r="AB96" s="544">
        <f ca="1">IF(AND($D96="Serviço",AB$12&lt;&gt;0,$H96&gt;0,OR(AUTOEVENTO&lt;&gt;"manual",$M96&lt;&gt;1)),
IF(Import.TipoArredondamento&lt;&gt;"TransfereGOV",
ROUND(OFFSET($P96,0,AB$13),15-13*ORÇAMENTO!$AF$7)/$H96*OFFSET(ORÇAMENTO!$X$15,ROW(AB96)-ROW(AB$15),0),
ROUND(ROUND(OFFSET($P96,0,AB$13),15-13*ORÇAMENTO!$AF$7)*OFFSET(ORÇAMENTO!$W$15,ROW(AB96)-ROW(AB$15),0),15-13*ORÇAMENTO!$AF$11)),0)</f>
        <v>0</v>
      </c>
      <c r="AC96" s="545">
        <f ca="1">IF(AND($D96="Serviço",AC$12&lt;&gt;0,$H96&gt;0,OR(AUTOEVENTO&lt;&gt;"manual",$M96&lt;&gt;1)),
IF(Import.TipoArredondamento&lt;&gt;"TransfereGOV",
ROUND(OFFSET($P96,0,AC$13),15-13*ORÇAMENTO!$AF$7)/$H96*OFFSET(ORÇAMENTO!$X$15,ROW(AC96)-ROW(AC$15),0),
ROUND(ROUND(OFFSET($P96,0,AC$13),15-13*ORÇAMENTO!$AF$7)*OFFSET(ORÇAMENTO!$W$15,ROW(AC96)-ROW(AC$15),0),15-13*ORÇAMENTO!$AF$11)),0)</f>
        <v>0</v>
      </c>
      <c r="AD96" s="545">
        <f ca="1">IF(AND($D96="Serviço",AD$12&lt;&gt;0,$H96&gt;0,OR(AUTOEVENTO&lt;&gt;"manual",$M96&lt;&gt;1)),
IF(Import.TipoArredondamento&lt;&gt;"TransfereGOV",
ROUND(OFFSET($P96,0,AD$13),15-13*ORÇAMENTO!$AF$7)/$H96*OFFSET(ORÇAMENTO!$X$15,ROW(AD96)-ROW(AD$15),0),
ROUND(ROUND(OFFSET($P96,0,AD$13),15-13*ORÇAMENTO!$AF$7)*OFFSET(ORÇAMENTO!$W$15,ROW(AD96)-ROW(AD$15),0),15-13*ORÇAMENTO!$AF$11)),0)</f>
        <v>0</v>
      </c>
      <c r="AE96" s="545">
        <f ca="1">IF(AND($D96="Serviço",AE$12&lt;&gt;0,$H96&gt;0,OR(AUTOEVENTO&lt;&gt;"manual",$M96&lt;&gt;1)),
IF(Import.TipoArredondamento&lt;&gt;"TransfereGOV",
ROUND(OFFSET($P96,0,AE$13),15-13*ORÇAMENTO!$AF$7)/$H96*OFFSET(ORÇAMENTO!$X$15,ROW(AE96)-ROW(AE$15),0),
ROUND(ROUND(OFFSET($P96,0,AE$13),15-13*ORÇAMENTO!$AF$7)*OFFSET(ORÇAMENTO!$W$15,ROW(AE96)-ROW(AE$15),0),15-13*ORÇAMENTO!$AF$11)),0)</f>
        <v>0</v>
      </c>
      <c r="AF96" s="545">
        <f ca="1">IF(AND($D96="Serviço",AF$12&lt;&gt;0,$H96&gt;0,OR(AUTOEVENTO&lt;&gt;"manual",$M96&lt;&gt;1)),
IF(Import.TipoArredondamento&lt;&gt;"TransfereGOV",
ROUND(OFFSET($P96,0,AF$13),15-13*ORÇAMENTO!$AF$7)/$H96*OFFSET(ORÇAMENTO!$X$15,ROW(AF96)-ROW(AF$15),0),
ROUND(ROUND(OFFSET($P96,0,AF$13),15-13*ORÇAMENTO!$AF$7)*OFFSET(ORÇAMENTO!$W$15,ROW(AF96)-ROW(AF$15),0),15-13*ORÇAMENTO!$AF$11)),0)</f>
        <v>0</v>
      </c>
      <c r="AG96" s="545">
        <f ca="1">IF(AND($D96="Serviço",AG$12&lt;&gt;0,$H96&gt;0,OR(AUTOEVENTO&lt;&gt;"manual",$M96&lt;&gt;1)),
IF(Import.TipoArredondamento&lt;&gt;"TransfereGOV",
ROUND(OFFSET($P96,0,AG$13),15-13*ORÇAMENTO!$AF$7)/$H96*OFFSET(ORÇAMENTO!$X$15,ROW(AG96)-ROW(AG$15),0),
ROUND(ROUND(OFFSET($P96,0,AG$13),15-13*ORÇAMENTO!$AF$7)*OFFSET(ORÇAMENTO!$W$15,ROW(AG96)-ROW(AG$15),0),15-13*ORÇAMENTO!$AF$11)),0)</f>
        <v>0</v>
      </c>
      <c r="AH96" s="545">
        <f ca="1">IF(AND($D96="Serviço",AH$12&lt;&gt;0,$H96&gt;0,OR(AUTOEVENTO&lt;&gt;"manual",$M96&lt;&gt;1)),
IF(Import.TipoArredondamento&lt;&gt;"TransfereGOV",
ROUND(OFFSET($P96,0,AH$13),15-13*ORÇAMENTO!$AF$7)/$H96*OFFSET(ORÇAMENTO!$X$15,ROW(AH96)-ROW(AH$15),0),
ROUND(ROUND(OFFSET($P96,0,AH$13),15-13*ORÇAMENTO!$AF$7)*OFFSET(ORÇAMENTO!$W$15,ROW(AH96)-ROW(AH$15),0),15-13*ORÇAMENTO!$AF$11)),0)</f>
        <v>0</v>
      </c>
      <c r="AI96" s="545">
        <f ca="1">IF(AND($D96="Serviço",AI$12&lt;&gt;0,$H96&gt;0,OR(AUTOEVENTO&lt;&gt;"manual",$M96&lt;&gt;1)),
IF(Import.TipoArredondamento&lt;&gt;"TransfereGOV",
ROUND(OFFSET($P96,0,AI$13),15-13*ORÇAMENTO!$AF$7)/$H96*OFFSET(ORÇAMENTO!$X$15,ROW(AI96)-ROW(AI$15),0),
ROUND(ROUND(OFFSET($P96,0,AI$13),15-13*ORÇAMENTO!$AF$7)*OFFSET(ORÇAMENTO!$W$15,ROW(AI96)-ROW(AI$15),0),15-13*ORÇAMENTO!$AF$11)),0)</f>
        <v>0</v>
      </c>
      <c r="AJ96" s="545">
        <f ca="1">IF(AND($D96="Serviço",AJ$12&lt;&gt;0,$H96&gt;0,OR(AUTOEVENTO&lt;&gt;"manual",$M96&lt;&gt;1)),
IF(Import.TipoArredondamento&lt;&gt;"TransfereGOV",
ROUND(OFFSET($P96,0,AJ$13),15-13*ORÇAMENTO!$AF$7)/$H96*OFFSET(ORÇAMENTO!$X$15,ROW(AJ96)-ROW(AJ$15),0),
ROUND(ROUND(OFFSET($P96,0,AJ$13),15-13*ORÇAMENTO!$AF$7)*OFFSET(ORÇAMENTO!$W$15,ROW(AJ96)-ROW(AJ$15),0),15-13*ORÇAMENTO!$AF$11)),0)</f>
        <v>0</v>
      </c>
      <c r="AK96" s="546">
        <f ca="1">IF(AND($D96="Serviço",AK$12&lt;&gt;0,$H96&gt;0,OR(AUTOEVENTO&lt;&gt;"manual",$M96&lt;&gt;1)),
IF(Import.TipoArredondamento&lt;&gt;"TransfereGOV",
ROUND(OFFSET($P96,0,AK$13),15-13*ORÇAMENTO!$AF$7)/$H96*OFFSET(ORÇAMENTO!$X$15,ROW(AK96)-ROW(AK$15),0),
ROUND(ROUND(OFFSET($P96,0,AK$13),15-13*ORÇAMENTO!$AF$7)*OFFSET(ORÇAMENTO!$W$15,ROW(AK96)-ROW(AK$15),0),15-13*ORÇAMENTO!$AF$11)),0)</f>
        <v>0</v>
      </c>
      <c r="AM96" s="181">
        <f ca="1">IF($D96&lt;&gt;"Serviço",0,IF(AND(AUTOEVENTO="Manual",$M96=1),0,IF(OFFSET(CRONOPLE!$F$14,$M96,AM$13)="",10^12,OFFSET(CRONOPLE!$F$14,$M96,AM$13))))</f>
        <v>1000000000000</v>
      </c>
      <c r="AN96" s="181">
        <f ca="1">IF($D96&lt;&gt;"Serviço",0,IF(AND(AUTOEVENTO="Manual",$M96=1),0,IF(OFFSET(CRONOPLE!$F$14,$M96,AN$13)="",10^12,OFFSET(CRONOPLE!$F$14,$M96,AN$13))))</f>
        <v>1000000000000</v>
      </c>
      <c r="AO96" s="181">
        <f ca="1">IF($D96&lt;&gt;"Serviço",0,IF(AND(AUTOEVENTO="Manual",$M96=1),0,IF(OFFSET(CRONOPLE!$F$14,$M96,AO$13)="",10^12,OFFSET(CRONOPLE!$F$14,$M96,AO$13))))</f>
        <v>1000000000000</v>
      </c>
      <c r="AP96" s="181">
        <f ca="1">IF($D96&lt;&gt;"Serviço",0,IF(AND(AUTOEVENTO="Manual",$M96=1),0,IF(OFFSET(CRONOPLE!$F$14,$M96,AP$13)="",10^12,OFFSET(CRONOPLE!$F$14,$M96,AP$13))))</f>
        <v>1000000000000</v>
      </c>
      <c r="AQ96" s="181">
        <f ca="1">IF($D96&lt;&gt;"Serviço",0,IF(AND(AUTOEVENTO="Manual",$M96=1),0,IF(OFFSET(CRONOPLE!$F$14,$M96,AQ$13)="",10^12,OFFSET(CRONOPLE!$F$14,$M96,AQ$13))))</f>
        <v>1000000000000</v>
      </c>
      <c r="AR96" s="181">
        <f ca="1">IF($D96&lt;&gt;"Serviço",0,IF(AND(AUTOEVENTO="Manual",$M96=1),0,IF(OFFSET(CRONOPLE!$F$14,$M96,AR$13)="",10^12,OFFSET(CRONOPLE!$F$14,$M96,AR$13))))</f>
        <v>1000000000000</v>
      </c>
      <c r="AS96" s="181">
        <f ca="1">IF($D96&lt;&gt;"Serviço",0,IF(AND(AUTOEVENTO="Manual",$M96=1),0,IF(OFFSET(CRONOPLE!$F$14,$M96,AS$13)="",10^12,OFFSET(CRONOPLE!$F$14,$M96,AS$13))))</f>
        <v>1000000000000</v>
      </c>
      <c r="AT96" s="181">
        <f ca="1">IF($D96&lt;&gt;"Serviço",0,IF(AND(AUTOEVENTO="Manual",$M96=1),0,IF(OFFSET(CRONOPLE!$F$14,$M96,AT$13)="",10^12,OFFSET(CRONOPLE!$F$14,$M96,AT$13))))</f>
        <v>1000000000000</v>
      </c>
      <c r="AU96" s="181">
        <f ca="1">IF($D96&lt;&gt;"Serviço",0,IF(AND(AUTOEVENTO="Manual",$M96=1),0,IF(OFFSET(CRONOPLE!$F$14,$M96,AU$13)="",10^12,OFFSET(CRONOPLE!$F$14,$M96,AU$13))))</f>
        <v>1000000000000</v>
      </c>
      <c r="AV96" s="181">
        <f ca="1">IF($D96&lt;&gt;"Serviço",0,IF(AND(AUTOEVENTO="Manual",$M96=1),0,IF(OFFSET(CRONOPLE!$F$14,$M96,AV$13)="",10^12,OFFSET(CRONOPLE!$F$14,$M96,AV$13))))</f>
        <v>1000000000000</v>
      </c>
      <c r="AX96" s="182">
        <f ca="1">IF($D96&lt;&gt;"Serviço",0,IF(OR(AND(AUTOEVENTO="Manual",$M96=1),$M96&gt;(ROW(PLE.lastrow)-ROW(PLE.firstrow))),0,IF(OFFSET(PLE!$G$14,$M96,AX$13)="",10^12,OFFSET(PLE!$G$14,$M96,AX$13))))</f>
        <v>1000000000000</v>
      </c>
      <c r="AY96" s="182">
        <f ca="1">IF($D96&lt;&gt;"Serviço",0,IF(OR(AND(AUTOEVENTO="Manual",$M96=1),$M96&gt;(ROW(PLE.lastrow)-ROW(PLE.firstrow))),0,IF(OFFSET(PLE!$G$14,$M96,AY$13)="",10^12,OFFSET(PLE!$G$14,$M96,AY$13))))</f>
        <v>1000000000000</v>
      </c>
      <c r="AZ96" s="182">
        <f ca="1">IF($D96&lt;&gt;"Serviço",0,IF(OR(AND(AUTOEVENTO="Manual",$M96=1),$M96&gt;(ROW(PLE.lastrow)-ROW(PLE.firstrow))),0,IF(OFFSET(PLE!$G$14,$M96,AZ$13)="",10^12,OFFSET(PLE!$G$14,$M96,AZ$13))))</f>
        <v>1000000000000</v>
      </c>
      <c r="BA96" s="182">
        <f ca="1">IF($D96&lt;&gt;"Serviço",0,IF(OR(AND(AUTOEVENTO="Manual",$M96=1),$M96&gt;(ROW(PLE.lastrow)-ROW(PLE.firstrow))),0,IF(OFFSET(PLE!$G$14,$M96,BA$13)="",10^12,OFFSET(PLE!$G$14,$M96,BA$13))))</f>
        <v>1000000000000</v>
      </c>
      <c r="BB96" s="182">
        <f ca="1">IF($D96&lt;&gt;"Serviço",0,IF(OR(AND(AUTOEVENTO="Manual",$M96=1),$M96&gt;(ROW(PLE.lastrow)-ROW(PLE.firstrow))),0,IF(OFFSET(PLE!$G$14,$M96,BB$13)="",10^12,OFFSET(PLE!$G$14,$M96,BB$13))))</f>
        <v>1000000000000</v>
      </c>
      <c r="BC96" s="182">
        <f ca="1">IF($D96&lt;&gt;"Serviço",0,IF(OR(AND(AUTOEVENTO="Manual",$M96=1),$M96&gt;(ROW(PLE.lastrow)-ROW(PLE.firstrow))),0,IF(OFFSET(PLE!$G$14,$M96,BC$13)="",10^12,OFFSET(PLE!$G$14,$M96,BC$13))))</f>
        <v>1000000000000</v>
      </c>
      <c r="BD96" s="182">
        <f ca="1">IF($D96&lt;&gt;"Serviço",0,IF(OR(AND(AUTOEVENTO="Manual",$M96=1),$M96&gt;(ROW(PLE.lastrow)-ROW(PLE.firstrow))),0,IF(OFFSET(PLE!$G$14,$M96,BD$13)="",10^12,OFFSET(PLE!$G$14,$M96,BD$13))))</f>
        <v>1000000000000</v>
      </c>
      <c r="BE96" s="182">
        <f ca="1">IF($D96&lt;&gt;"Serviço",0,IF(OR(AND(AUTOEVENTO="Manual",$M96=1),$M96&gt;(ROW(PLE.lastrow)-ROW(PLE.firstrow))),0,IF(OFFSET(PLE!$G$14,$M96,BE$13)="",10^12,OFFSET(PLE!$G$14,$M96,BE$13))))</f>
        <v>1000000000000</v>
      </c>
      <c r="BF96" s="182">
        <f ca="1">IF($D96&lt;&gt;"Serviço",0,IF(OR(AND(AUTOEVENTO="Manual",$M96=1),$M96&gt;(ROW(PLE.lastrow)-ROW(PLE.firstrow))),0,IF(OFFSET(PLE!$G$14,$M96,BF$13)="",10^12,OFFSET(PLE!$G$14,$M96,BF$13))))</f>
        <v>1000000000000</v>
      </c>
      <c r="BG96" s="182">
        <f ca="1">IF($D96&lt;&gt;"Serviço",0,IF(OR(AND(AUTOEVENTO="Manual",$M96=1),$M96&gt;(ROW(PLE.lastrow)-ROW(PLE.firstrow))),0,IF(OFFSET(PLE!$G$14,$M96,BG$13)="",10^12,OFFSET(PLE!$G$14,$M96,BG$13))))</f>
        <v>1000000000000</v>
      </c>
    </row>
    <row r="97" spans="1:59" ht="25.5" x14ac:dyDescent="0.2">
      <c r="A97" s="7" t="str">
        <f ca="1">IF(AUTOEVENTO="Manual",IF(K97&lt;&gt;"",MIN(VALUE(LEFT(K97,FIND(".",K97)-1)),COUNTA(EVENTOS.Lista)),0),IF(OR($B97&gt;AUTOEVENTO,$B97="S",$B97=0),SUBSTITUTE(OFFSET($A97,-1,0),IF($D97="Serviço",".",""),""),ROW(A97)-ROW($A$15)&amp;"."))</f>
        <v>69</v>
      </c>
      <c r="B97" s="7" t="str">
        <f ca="1">OFFSET(ORÇAMENTO!C$15,ROW(B97)-ROW(B$15),0)</f>
        <v>S</v>
      </c>
      <c r="C97" s="7" t="str">
        <f ca="1">OFFSET(ORÇAMENTO!L$15,ROW(C97)-ROW(C$15),0)</f>
        <v>F</v>
      </c>
      <c r="D97" s="118" t="str">
        <f ca="1">OFFSET(ORÇAMENTO!N$15,ROW(D97)-ROW(D$15),0)</f>
        <v>Serviço</v>
      </c>
      <c r="E97" s="119" t="str">
        <f ca="1">OFFSET(ORÇAMENTO!O$15,ROW(E97)-ROW(E$15),0)</f>
        <v>6.2.13.</v>
      </c>
      <c r="F97" s="172" t="str">
        <f ca="1">OFFSET(ORÇAMENTO!R$15,ROW(F97)-ROW(F$15),0)</f>
        <v>FIO DE COBRE, SOLIDO, CLASSE 1, ISOLACAO EM PVC/A, ANTICHAMA BWF-B, 450/750V, SECAO NOMINAL 10 MM2</v>
      </c>
      <c r="G97" s="173" t="str">
        <f ca="1">IF($D97&lt;&gt;"Serviço","",OFFSET(ORÇAMENTO!S$15,ROW(G97)-ROW(G$15),0))</f>
        <v>M</v>
      </c>
      <c r="H97" s="124">
        <f ca="1">IF($D97&lt;&gt;"Serviço",0,IF(ACOMPANHAMENTO="BM",ROUND(OFFSET(ORÇAMENTO!AJ$15,ROW(H97)-ROW(H$15),0),15-13*ORÇAMENTO!$AF$7),SUMPRODUCT(($Q$12:$AA$12&lt;&gt;"")*ROUND($Q97:$AA97,15-13*ORÇAMENTO!$AF$7))))</f>
        <v>60</v>
      </c>
      <c r="I97" s="561"/>
      <c r="K97" s="174"/>
      <c r="L97" s="175" t="s">
        <v>255</v>
      </c>
      <c r="M97" s="176">
        <f ca="1">IF($D97&lt;&gt;"Serviço","",IF(AUTOEVENTO="manual",$A97,IF(ISERROR(MATCH($A97,$A$15:OFFSET($A97,-1,0),0)),MAX($M$15:OFFSET(M97,-1,0))+1,INDEX($M$15:OFFSET(M97,-1,0),MATCH($A97,$A$15:OFFSET($A97,-1,0),0)))))</f>
        <v>15</v>
      </c>
      <c r="N97" s="177" t="str">
        <f ca="1">IF($D97&lt;&gt;"Serviço","",IF(AUTOEVENTO="Manual",IF($A97=0,"&lt;-- defina o número do agrupador",OFFSET(EVENTOS!$D$14,$A97,0)),OFFSET($F$15,$A97,0)))</f>
        <v>INSTALAÇÕES ELÉTRICAS</v>
      </c>
      <c r="O97" s="178"/>
      <c r="Q97" s="178"/>
      <c r="R97" s="179"/>
      <c r="S97" s="179"/>
      <c r="T97" s="179"/>
      <c r="U97" s="179"/>
      <c r="V97" s="179"/>
      <c r="W97" s="179"/>
      <c r="X97" s="179"/>
      <c r="Y97" s="179"/>
      <c r="Z97" s="180"/>
      <c r="AB97" s="544">
        <f ca="1">IF(AND($D97="Serviço",AB$12&lt;&gt;0,$H97&gt;0,OR(AUTOEVENTO&lt;&gt;"manual",$M97&lt;&gt;1)),
IF(Import.TipoArredondamento&lt;&gt;"TransfereGOV",
ROUND(OFFSET($P97,0,AB$13),15-13*ORÇAMENTO!$AF$7)/$H97*OFFSET(ORÇAMENTO!$X$15,ROW(AB97)-ROW(AB$15),0),
ROUND(ROUND(OFFSET($P97,0,AB$13),15-13*ORÇAMENTO!$AF$7)*OFFSET(ORÇAMENTO!$W$15,ROW(AB97)-ROW(AB$15),0),15-13*ORÇAMENTO!$AF$11)),0)</f>
        <v>0</v>
      </c>
      <c r="AC97" s="545">
        <f ca="1">IF(AND($D97="Serviço",AC$12&lt;&gt;0,$H97&gt;0,OR(AUTOEVENTO&lt;&gt;"manual",$M97&lt;&gt;1)),
IF(Import.TipoArredondamento&lt;&gt;"TransfereGOV",
ROUND(OFFSET($P97,0,AC$13),15-13*ORÇAMENTO!$AF$7)/$H97*OFFSET(ORÇAMENTO!$X$15,ROW(AC97)-ROW(AC$15),0),
ROUND(ROUND(OFFSET($P97,0,AC$13),15-13*ORÇAMENTO!$AF$7)*OFFSET(ORÇAMENTO!$W$15,ROW(AC97)-ROW(AC$15),0),15-13*ORÇAMENTO!$AF$11)),0)</f>
        <v>0</v>
      </c>
      <c r="AD97" s="545">
        <f ca="1">IF(AND($D97="Serviço",AD$12&lt;&gt;0,$H97&gt;0,OR(AUTOEVENTO&lt;&gt;"manual",$M97&lt;&gt;1)),
IF(Import.TipoArredondamento&lt;&gt;"TransfereGOV",
ROUND(OFFSET($P97,0,AD$13),15-13*ORÇAMENTO!$AF$7)/$H97*OFFSET(ORÇAMENTO!$X$15,ROW(AD97)-ROW(AD$15),0),
ROUND(ROUND(OFFSET($P97,0,AD$13),15-13*ORÇAMENTO!$AF$7)*OFFSET(ORÇAMENTO!$W$15,ROW(AD97)-ROW(AD$15),0),15-13*ORÇAMENTO!$AF$11)),0)</f>
        <v>0</v>
      </c>
      <c r="AE97" s="545">
        <f ca="1">IF(AND($D97="Serviço",AE$12&lt;&gt;0,$H97&gt;0,OR(AUTOEVENTO&lt;&gt;"manual",$M97&lt;&gt;1)),
IF(Import.TipoArredondamento&lt;&gt;"TransfereGOV",
ROUND(OFFSET($P97,0,AE$13),15-13*ORÇAMENTO!$AF$7)/$H97*OFFSET(ORÇAMENTO!$X$15,ROW(AE97)-ROW(AE$15),0),
ROUND(ROUND(OFFSET($P97,0,AE$13),15-13*ORÇAMENTO!$AF$7)*OFFSET(ORÇAMENTO!$W$15,ROW(AE97)-ROW(AE$15),0),15-13*ORÇAMENTO!$AF$11)),0)</f>
        <v>0</v>
      </c>
      <c r="AF97" s="545">
        <f ca="1">IF(AND($D97="Serviço",AF$12&lt;&gt;0,$H97&gt;0,OR(AUTOEVENTO&lt;&gt;"manual",$M97&lt;&gt;1)),
IF(Import.TipoArredondamento&lt;&gt;"TransfereGOV",
ROUND(OFFSET($P97,0,AF$13),15-13*ORÇAMENTO!$AF$7)/$H97*OFFSET(ORÇAMENTO!$X$15,ROW(AF97)-ROW(AF$15),0),
ROUND(ROUND(OFFSET($P97,0,AF$13),15-13*ORÇAMENTO!$AF$7)*OFFSET(ORÇAMENTO!$W$15,ROW(AF97)-ROW(AF$15),0),15-13*ORÇAMENTO!$AF$11)),0)</f>
        <v>0</v>
      </c>
      <c r="AG97" s="545">
        <f ca="1">IF(AND($D97="Serviço",AG$12&lt;&gt;0,$H97&gt;0,OR(AUTOEVENTO&lt;&gt;"manual",$M97&lt;&gt;1)),
IF(Import.TipoArredondamento&lt;&gt;"TransfereGOV",
ROUND(OFFSET($P97,0,AG$13),15-13*ORÇAMENTO!$AF$7)/$H97*OFFSET(ORÇAMENTO!$X$15,ROW(AG97)-ROW(AG$15),0),
ROUND(ROUND(OFFSET($P97,0,AG$13),15-13*ORÇAMENTO!$AF$7)*OFFSET(ORÇAMENTO!$W$15,ROW(AG97)-ROW(AG$15),0),15-13*ORÇAMENTO!$AF$11)),0)</f>
        <v>0</v>
      </c>
      <c r="AH97" s="545">
        <f ca="1">IF(AND($D97="Serviço",AH$12&lt;&gt;0,$H97&gt;0,OR(AUTOEVENTO&lt;&gt;"manual",$M97&lt;&gt;1)),
IF(Import.TipoArredondamento&lt;&gt;"TransfereGOV",
ROUND(OFFSET($P97,0,AH$13),15-13*ORÇAMENTO!$AF$7)/$H97*OFFSET(ORÇAMENTO!$X$15,ROW(AH97)-ROW(AH$15),0),
ROUND(ROUND(OFFSET($P97,0,AH$13),15-13*ORÇAMENTO!$AF$7)*OFFSET(ORÇAMENTO!$W$15,ROW(AH97)-ROW(AH$15),0),15-13*ORÇAMENTO!$AF$11)),0)</f>
        <v>0</v>
      </c>
      <c r="AI97" s="545">
        <f ca="1">IF(AND($D97="Serviço",AI$12&lt;&gt;0,$H97&gt;0,OR(AUTOEVENTO&lt;&gt;"manual",$M97&lt;&gt;1)),
IF(Import.TipoArredondamento&lt;&gt;"TransfereGOV",
ROUND(OFFSET($P97,0,AI$13),15-13*ORÇAMENTO!$AF$7)/$H97*OFFSET(ORÇAMENTO!$X$15,ROW(AI97)-ROW(AI$15),0),
ROUND(ROUND(OFFSET($P97,0,AI$13),15-13*ORÇAMENTO!$AF$7)*OFFSET(ORÇAMENTO!$W$15,ROW(AI97)-ROW(AI$15),0),15-13*ORÇAMENTO!$AF$11)),0)</f>
        <v>0</v>
      </c>
      <c r="AJ97" s="545">
        <f ca="1">IF(AND($D97="Serviço",AJ$12&lt;&gt;0,$H97&gt;0,OR(AUTOEVENTO&lt;&gt;"manual",$M97&lt;&gt;1)),
IF(Import.TipoArredondamento&lt;&gt;"TransfereGOV",
ROUND(OFFSET($P97,0,AJ$13),15-13*ORÇAMENTO!$AF$7)/$H97*OFFSET(ORÇAMENTO!$X$15,ROW(AJ97)-ROW(AJ$15),0),
ROUND(ROUND(OFFSET($P97,0,AJ$13),15-13*ORÇAMENTO!$AF$7)*OFFSET(ORÇAMENTO!$W$15,ROW(AJ97)-ROW(AJ$15),0),15-13*ORÇAMENTO!$AF$11)),0)</f>
        <v>0</v>
      </c>
      <c r="AK97" s="546">
        <f ca="1">IF(AND($D97="Serviço",AK$12&lt;&gt;0,$H97&gt;0,OR(AUTOEVENTO&lt;&gt;"manual",$M97&lt;&gt;1)),
IF(Import.TipoArredondamento&lt;&gt;"TransfereGOV",
ROUND(OFFSET($P97,0,AK$13),15-13*ORÇAMENTO!$AF$7)/$H97*OFFSET(ORÇAMENTO!$X$15,ROW(AK97)-ROW(AK$15),0),
ROUND(ROUND(OFFSET($P97,0,AK$13),15-13*ORÇAMENTO!$AF$7)*OFFSET(ORÇAMENTO!$W$15,ROW(AK97)-ROW(AK$15),0),15-13*ORÇAMENTO!$AF$11)),0)</f>
        <v>0</v>
      </c>
      <c r="AM97" s="181">
        <f ca="1">IF($D97&lt;&gt;"Serviço",0,IF(AND(AUTOEVENTO="Manual",$M97=1),0,IF(OFFSET(CRONOPLE!$F$14,$M97,AM$13)="",10^12,OFFSET(CRONOPLE!$F$14,$M97,AM$13))))</f>
        <v>1000000000000</v>
      </c>
      <c r="AN97" s="181">
        <f ca="1">IF($D97&lt;&gt;"Serviço",0,IF(AND(AUTOEVENTO="Manual",$M97=1),0,IF(OFFSET(CRONOPLE!$F$14,$M97,AN$13)="",10^12,OFFSET(CRONOPLE!$F$14,$M97,AN$13))))</f>
        <v>1000000000000</v>
      </c>
      <c r="AO97" s="181">
        <f ca="1">IF($D97&lt;&gt;"Serviço",0,IF(AND(AUTOEVENTO="Manual",$M97=1),0,IF(OFFSET(CRONOPLE!$F$14,$M97,AO$13)="",10^12,OFFSET(CRONOPLE!$F$14,$M97,AO$13))))</f>
        <v>1000000000000</v>
      </c>
      <c r="AP97" s="181">
        <f ca="1">IF($D97&lt;&gt;"Serviço",0,IF(AND(AUTOEVENTO="Manual",$M97=1),0,IF(OFFSET(CRONOPLE!$F$14,$M97,AP$13)="",10^12,OFFSET(CRONOPLE!$F$14,$M97,AP$13))))</f>
        <v>1000000000000</v>
      </c>
      <c r="AQ97" s="181">
        <f ca="1">IF($D97&lt;&gt;"Serviço",0,IF(AND(AUTOEVENTO="Manual",$M97=1),0,IF(OFFSET(CRONOPLE!$F$14,$M97,AQ$13)="",10^12,OFFSET(CRONOPLE!$F$14,$M97,AQ$13))))</f>
        <v>1000000000000</v>
      </c>
      <c r="AR97" s="181">
        <f ca="1">IF($D97&lt;&gt;"Serviço",0,IF(AND(AUTOEVENTO="Manual",$M97=1),0,IF(OFFSET(CRONOPLE!$F$14,$M97,AR$13)="",10^12,OFFSET(CRONOPLE!$F$14,$M97,AR$13))))</f>
        <v>1000000000000</v>
      </c>
      <c r="AS97" s="181">
        <f ca="1">IF($D97&lt;&gt;"Serviço",0,IF(AND(AUTOEVENTO="Manual",$M97=1),0,IF(OFFSET(CRONOPLE!$F$14,$M97,AS$13)="",10^12,OFFSET(CRONOPLE!$F$14,$M97,AS$13))))</f>
        <v>1000000000000</v>
      </c>
      <c r="AT97" s="181">
        <f ca="1">IF($D97&lt;&gt;"Serviço",0,IF(AND(AUTOEVENTO="Manual",$M97=1),0,IF(OFFSET(CRONOPLE!$F$14,$M97,AT$13)="",10^12,OFFSET(CRONOPLE!$F$14,$M97,AT$13))))</f>
        <v>1000000000000</v>
      </c>
      <c r="AU97" s="181">
        <f ca="1">IF($D97&lt;&gt;"Serviço",0,IF(AND(AUTOEVENTO="Manual",$M97=1),0,IF(OFFSET(CRONOPLE!$F$14,$M97,AU$13)="",10^12,OFFSET(CRONOPLE!$F$14,$M97,AU$13))))</f>
        <v>1000000000000</v>
      </c>
      <c r="AV97" s="181">
        <f ca="1">IF($D97&lt;&gt;"Serviço",0,IF(AND(AUTOEVENTO="Manual",$M97=1),0,IF(OFFSET(CRONOPLE!$F$14,$M97,AV$13)="",10^12,OFFSET(CRONOPLE!$F$14,$M97,AV$13))))</f>
        <v>1000000000000</v>
      </c>
      <c r="AX97" s="182">
        <f ca="1">IF($D97&lt;&gt;"Serviço",0,IF(OR(AND(AUTOEVENTO="Manual",$M97=1),$M97&gt;(ROW(PLE.lastrow)-ROW(PLE.firstrow))),0,IF(OFFSET(PLE!$G$14,$M97,AX$13)="",10^12,OFFSET(PLE!$G$14,$M97,AX$13))))</f>
        <v>1000000000000</v>
      </c>
      <c r="AY97" s="182">
        <f ca="1">IF($D97&lt;&gt;"Serviço",0,IF(OR(AND(AUTOEVENTO="Manual",$M97=1),$M97&gt;(ROW(PLE.lastrow)-ROW(PLE.firstrow))),0,IF(OFFSET(PLE!$G$14,$M97,AY$13)="",10^12,OFFSET(PLE!$G$14,$M97,AY$13))))</f>
        <v>1000000000000</v>
      </c>
      <c r="AZ97" s="182">
        <f ca="1">IF($D97&lt;&gt;"Serviço",0,IF(OR(AND(AUTOEVENTO="Manual",$M97=1),$M97&gt;(ROW(PLE.lastrow)-ROW(PLE.firstrow))),0,IF(OFFSET(PLE!$G$14,$M97,AZ$13)="",10^12,OFFSET(PLE!$G$14,$M97,AZ$13))))</f>
        <v>1000000000000</v>
      </c>
      <c r="BA97" s="182">
        <f ca="1">IF($D97&lt;&gt;"Serviço",0,IF(OR(AND(AUTOEVENTO="Manual",$M97=1),$M97&gt;(ROW(PLE.lastrow)-ROW(PLE.firstrow))),0,IF(OFFSET(PLE!$G$14,$M97,BA$13)="",10^12,OFFSET(PLE!$G$14,$M97,BA$13))))</f>
        <v>1000000000000</v>
      </c>
      <c r="BB97" s="182">
        <f ca="1">IF($D97&lt;&gt;"Serviço",0,IF(OR(AND(AUTOEVENTO="Manual",$M97=1),$M97&gt;(ROW(PLE.lastrow)-ROW(PLE.firstrow))),0,IF(OFFSET(PLE!$G$14,$M97,BB$13)="",10^12,OFFSET(PLE!$G$14,$M97,BB$13))))</f>
        <v>1000000000000</v>
      </c>
      <c r="BC97" s="182">
        <f ca="1">IF($D97&lt;&gt;"Serviço",0,IF(OR(AND(AUTOEVENTO="Manual",$M97=1),$M97&gt;(ROW(PLE.lastrow)-ROW(PLE.firstrow))),0,IF(OFFSET(PLE!$G$14,$M97,BC$13)="",10^12,OFFSET(PLE!$G$14,$M97,BC$13))))</f>
        <v>1000000000000</v>
      </c>
      <c r="BD97" s="182">
        <f ca="1">IF($D97&lt;&gt;"Serviço",0,IF(OR(AND(AUTOEVENTO="Manual",$M97=1),$M97&gt;(ROW(PLE.lastrow)-ROW(PLE.firstrow))),0,IF(OFFSET(PLE!$G$14,$M97,BD$13)="",10^12,OFFSET(PLE!$G$14,$M97,BD$13))))</f>
        <v>1000000000000</v>
      </c>
      <c r="BE97" s="182">
        <f ca="1">IF($D97&lt;&gt;"Serviço",0,IF(OR(AND(AUTOEVENTO="Manual",$M97=1),$M97&gt;(ROW(PLE.lastrow)-ROW(PLE.firstrow))),0,IF(OFFSET(PLE!$G$14,$M97,BE$13)="",10^12,OFFSET(PLE!$G$14,$M97,BE$13))))</f>
        <v>1000000000000</v>
      </c>
      <c r="BF97" s="182">
        <f ca="1">IF($D97&lt;&gt;"Serviço",0,IF(OR(AND(AUTOEVENTO="Manual",$M97=1),$M97&gt;(ROW(PLE.lastrow)-ROW(PLE.firstrow))),0,IF(OFFSET(PLE!$G$14,$M97,BF$13)="",10^12,OFFSET(PLE!$G$14,$M97,BF$13))))</f>
        <v>1000000000000</v>
      </c>
      <c r="BG97" s="182">
        <f ca="1">IF($D97&lt;&gt;"Serviço",0,IF(OR(AND(AUTOEVENTO="Manual",$M97=1),$M97&gt;(ROW(PLE.lastrow)-ROW(PLE.firstrow))),0,IF(OFFSET(PLE!$G$14,$M97,BG$13)="",10^12,OFFSET(PLE!$G$14,$M97,BG$13))))</f>
        <v>1000000000000</v>
      </c>
    </row>
    <row r="98" spans="1:59" ht="12.75" x14ac:dyDescent="0.2">
      <c r="A98" s="7" t="str">
        <f t="shared" ca="1" si="8"/>
        <v>83.</v>
      </c>
      <c r="B98" s="7">
        <f ca="1">OFFSET(ORÇAMENTO!C$15,ROW(B98)-ROW(B$15),0)</f>
        <v>2</v>
      </c>
      <c r="C98" s="7" t="str">
        <f ca="1">OFFSET(ORÇAMENTO!L$15,ROW(C98)-ROW(C$15),0)</f>
        <v>F</v>
      </c>
      <c r="D98" s="118" t="str">
        <f ca="1">OFFSET(ORÇAMENTO!N$15,ROW(D98)-ROW(D$15),0)</f>
        <v>Nível 2</v>
      </c>
      <c r="E98" s="119" t="str">
        <f ca="1">OFFSET(ORÇAMENTO!O$15,ROW(E98)-ROW(E$15),0)</f>
        <v>6.3.</v>
      </c>
      <c r="F98" s="172" t="str">
        <f ca="1">OFFSET(ORÇAMENTO!R$15,ROW(F98)-ROW(F$15),0)</f>
        <v xml:space="preserve">INSTALAÇÕES HIDROSSANITÁRIAS </v>
      </c>
      <c r="G98" s="173" t="str">
        <f ca="1">IF($D98&lt;&gt;"Serviço","",OFFSET(ORÇAMENTO!S$15,ROW(G98)-ROW(G$15),0))</f>
        <v/>
      </c>
      <c r="H98" s="124">
        <f ca="1">IF($D98&lt;&gt;"Serviço",0,IF(ACOMPANHAMENTO="BM",ROUND(OFFSET(ORÇAMENTO!AJ$15,ROW(H98)-ROW(H$15),0),15-13*ORÇAMENTO!$AF$7),SUMPRODUCT(($Q$12:$AA$12&lt;&gt;"")*ROUND($Q98:$AA98,15-13*ORÇAMENTO!$AF$7))))</f>
        <v>0</v>
      </c>
      <c r="I98" s="561"/>
      <c r="K98" s="174"/>
      <c r="L98" s="175" t="s">
        <v>255</v>
      </c>
      <c r="M98" s="176" t="str">
        <f ca="1">IF($D98&lt;&gt;"Serviço","",IF(AUTOEVENTO="manual",$A98,IF(ISERROR(MATCH($A98,$A$15:OFFSET($A98,-1,0),0)),MAX($M$15:OFFSET(M98,-1,0))+1,INDEX($M$15:OFFSET(M98,-1,0),MATCH($A98,$A$15:OFFSET($A98,-1,0),0)))))</f>
        <v/>
      </c>
      <c r="N98" s="177" t="str">
        <f ca="1">IF($D98&lt;&gt;"Serviço","",IF(AUTOEVENTO="Manual",IF($A98=0,"&lt;-- defina o número do agrupador",OFFSET(EVENTOS!$D$14,$A98,0)),OFFSET($F$15,$A98,0)))</f>
        <v/>
      </c>
      <c r="O98" s="178"/>
      <c r="Q98" s="178"/>
      <c r="R98" s="179"/>
      <c r="S98" s="179"/>
      <c r="T98" s="179"/>
      <c r="U98" s="179"/>
      <c r="V98" s="179"/>
      <c r="W98" s="179"/>
      <c r="X98" s="179"/>
      <c r="Y98" s="179"/>
      <c r="Z98" s="180"/>
      <c r="AB98" s="544">
        <f ca="1">IF(AND($D98="Serviço",AB$12&lt;&gt;0,$H98&gt;0,OR(AUTOEVENTO&lt;&gt;"manual",$M98&lt;&gt;1)),
IF(Import.TipoArredondamento&lt;&gt;"TransfereGOV",
ROUND(OFFSET($P98,0,AB$13),15-13*ORÇAMENTO!$AF$7)/$H98*OFFSET(ORÇAMENTO!$X$15,ROW(AB98)-ROW(AB$15),0),
ROUND(ROUND(OFFSET($P98,0,AB$13),15-13*ORÇAMENTO!$AF$7)*OFFSET(ORÇAMENTO!$W$15,ROW(AB98)-ROW(AB$15),0),15-13*ORÇAMENTO!$AF$11)),0)</f>
        <v>0</v>
      </c>
      <c r="AC98" s="545">
        <f ca="1">IF(AND($D98="Serviço",AC$12&lt;&gt;0,$H98&gt;0,OR(AUTOEVENTO&lt;&gt;"manual",$M98&lt;&gt;1)),
IF(Import.TipoArredondamento&lt;&gt;"TransfereGOV",
ROUND(OFFSET($P98,0,AC$13),15-13*ORÇAMENTO!$AF$7)/$H98*OFFSET(ORÇAMENTO!$X$15,ROW(AC98)-ROW(AC$15),0),
ROUND(ROUND(OFFSET($P98,0,AC$13),15-13*ORÇAMENTO!$AF$7)*OFFSET(ORÇAMENTO!$W$15,ROW(AC98)-ROW(AC$15),0),15-13*ORÇAMENTO!$AF$11)),0)</f>
        <v>0</v>
      </c>
      <c r="AD98" s="545">
        <f ca="1">IF(AND($D98="Serviço",AD$12&lt;&gt;0,$H98&gt;0,OR(AUTOEVENTO&lt;&gt;"manual",$M98&lt;&gt;1)),
IF(Import.TipoArredondamento&lt;&gt;"TransfereGOV",
ROUND(OFFSET($P98,0,AD$13),15-13*ORÇAMENTO!$AF$7)/$H98*OFFSET(ORÇAMENTO!$X$15,ROW(AD98)-ROW(AD$15),0),
ROUND(ROUND(OFFSET($P98,0,AD$13),15-13*ORÇAMENTO!$AF$7)*OFFSET(ORÇAMENTO!$W$15,ROW(AD98)-ROW(AD$15),0),15-13*ORÇAMENTO!$AF$11)),0)</f>
        <v>0</v>
      </c>
      <c r="AE98" s="545">
        <f ca="1">IF(AND($D98="Serviço",AE$12&lt;&gt;0,$H98&gt;0,OR(AUTOEVENTO&lt;&gt;"manual",$M98&lt;&gt;1)),
IF(Import.TipoArredondamento&lt;&gt;"TransfereGOV",
ROUND(OFFSET($P98,0,AE$13),15-13*ORÇAMENTO!$AF$7)/$H98*OFFSET(ORÇAMENTO!$X$15,ROW(AE98)-ROW(AE$15),0),
ROUND(ROUND(OFFSET($P98,0,AE$13),15-13*ORÇAMENTO!$AF$7)*OFFSET(ORÇAMENTO!$W$15,ROW(AE98)-ROW(AE$15),0),15-13*ORÇAMENTO!$AF$11)),0)</f>
        <v>0</v>
      </c>
      <c r="AF98" s="545">
        <f ca="1">IF(AND($D98="Serviço",AF$12&lt;&gt;0,$H98&gt;0,OR(AUTOEVENTO&lt;&gt;"manual",$M98&lt;&gt;1)),
IF(Import.TipoArredondamento&lt;&gt;"TransfereGOV",
ROUND(OFFSET($P98,0,AF$13),15-13*ORÇAMENTO!$AF$7)/$H98*OFFSET(ORÇAMENTO!$X$15,ROW(AF98)-ROW(AF$15),0),
ROUND(ROUND(OFFSET($P98,0,AF$13),15-13*ORÇAMENTO!$AF$7)*OFFSET(ORÇAMENTO!$W$15,ROW(AF98)-ROW(AF$15),0),15-13*ORÇAMENTO!$AF$11)),0)</f>
        <v>0</v>
      </c>
      <c r="AG98" s="545">
        <f ca="1">IF(AND($D98="Serviço",AG$12&lt;&gt;0,$H98&gt;0,OR(AUTOEVENTO&lt;&gt;"manual",$M98&lt;&gt;1)),
IF(Import.TipoArredondamento&lt;&gt;"TransfereGOV",
ROUND(OFFSET($P98,0,AG$13),15-13*ORÇAMENTO!$AF$7)/$H98*OFFSET(ORÇAMENTO!$X$15,ROW(AG98)-ROW(AG$15),0),
ROUND(ROUND(OFFSET($P98,0,AG$13),15-13*ORÇAMENTO!$AF$7)*OFFSET(ORÇAMENTO!$W$15,ROW(AG98)-ROW(AG$15),0),15-13*ORÇAMENTO!$AF$11)),0)</f>
        <v>0</v>
      </c>
      <c r="AH98" s="545">
        <f ca="1">IF(AND($D98="Serviço",AH$12&lt;&gt;0,$H98&gt;0,OR(AUTOEVENTO&lt;&gt;"manual",$M98&lt;&gt;1)),
IF(Import.TipoArredondamento&lt;&gt;"TransfereGOV",
ROUND(OFFSET($P98,0,AH$13),15-13*ORÇAMENTO!$AF$7)/$H98*OFFSET(ORÇAMENTO!$X$15,ROW(AH98)-ROW(AH$15),0),
ROUND(ROUND(OFFSET($P98,0,AH$13),15-13*ORÇAMENTO!$AF$7)*OFFSET(ORÇAMENTO!$W$15,ROW(AH98)-ROW(AH$15),0),15-13*ORÇAMENTO!$AF$11)),0)</f>
        <v>0</v>
      </c>
      <c r="AI98" s="545">
        <f ca="1">IF(AND($D98="Serviço",AI$12&lt;&gt;0,$H98&gt;0,OR(AUTOEVENTO&lt;&gt;"manual",$M98&lt;&gt;1)),
IF(Import.TipoArredondamento&lt;&gt;"TransfereGOV",
ROUND(OFFSET($P98,0,AI$13),15-13*ORÇAMENTO!$AF$7)/$H98*OFFSET(ORÇAMENTO!$X$15,ROW(AI98)-ROW(AI$15),0),
ROUND(ROUND(OFFSET($P98,0,AI$13),15-13*ORÇAMENTO!$AF$7)*OFFSET(ORÇAMENTO!$W$15,ROW(AI98)-ROW(AI$15),0),15-13*ORÇAMENTO!$AF$11)),0)</f>
        <v>0</v>
      </c>
      <c r="AJ98" s="545">
        <f ca="1">IF(AND($D98="Serviço",AJ$12&lt;&gt;0,$H98&gt;0,OR(AUTOEVENTO&lt;&gt;"manual",$M98&lt;&gt;1)),
IF(Import.TipoArredondamento&lt;&gt;"TransfereGOV",
ROUND(OFFSET($P98,0,AJ$13),15-13*ORÇAMENTO!$AF$7)/$H98*OFFSET(ORÇAMENTO!$X$15,ROW(AJ98)-ROW(AJ$15),0),
ROUND(ROUND(OFFSET($P98,0,AJ$13),15-13*ORÇAMENTO!$AF$7)*OFFSET(ORÇAMENTO!$W$15,ROW(AJ98)-ROW(AJ$15),0),15-13*ORÇAMENTO!$AF$11)),0)</f>
        <v>0</v>
      </c>
      <c r="AK98" s="546">
        <f ca="1">IF(AND($D98="Serviço",AK$12&lt;&gt;0,$H98&gt;0,OR(AUTOEVENTO&lt;&gt;"manual",$M98&lt;&gt;1)),
IF(Import.TipoArredondamento&lt;&gt;"TransfereGOV",
ROUND(OFFSET($P98,0,AK$13),15-13*ORÇAMENTO!$AF$7)/$H98*OFFSET(ORÇAMENTO!$X$15,ROW(AK98)-ROW(AK$15),0),
ROUND(ROUND(OFFSET($P98,0,AK$13),15-13*ORÇAMENTO!$AF$7)*OFFSET(ORÇAMENTO!$W$15,ROW(AK98)-ROW(AK$15),0),15-13*ORÇAMENTO!$AF$11)),0)</f>
        <v>0</v>
      </c>
      <c r="AM98" s="181">
        <f ca="1">IF($D98&lt;&gt;"Serviço",0,IF(AND(AUTOEVENTO="Manual",$M98=1),0,IF(OFFSET(CRONOPLE!$F$14,$M98,AM$13)="",10^12,OFFSET(CRONOPLE!$F$14,$M98,AM$13))))</f>
        <v>0</v>
      </c>
      <c r="AN98" s="181">
        <f ca="1">IF($D98&lt;&gt;"Serviço",0,IF(AND(AUTOEVENTO="Manual",$M98=1),0,IF(OFFSET(CRONOPLE!$F$14,$M98,AN$13)="",10^12,OFFSET(CRONOPLE!$F$14,$M98,AN$13))))</f>
        <v>0</v>
      </c>
      <c r="AO98" s="181">
        <f ca="1">IF($D98&lt;&gt;"Serviço",0,IF(AND(AUTOEVENTO="Manual",$M98=1),0,IF(OFFSET(CRONOPLE!$F$14,$M98,AO$13)="",10^12,OFFSET(CRONOPLE!$F$14,$M98,AO$13))))</f>
        <v>0</v>
      </c>
      <c r="AP98" s="181">
        <f ca="1">IF($D98&lt;&gt;"Serviço",0,IF(AND(AUTOEVENTO="Manual",$M98=1),0,IF(OFFSET(CRONOPLE!$F$14,$M98,AP$13)="",10^12,OFFSET(CRONOPLE!$F$14,$M98,AP$13))))</f>
        <v>0</v>
      </c>
      <c r="AQ98" s="181">
        <f ca="1">IF($D98&lt;&gt;"Serviço",0,IF(AND(AUTOEVENTO="Manual",$M98=1),0,IF(OFFSET(CRONOPLE!$F$14,$M98,AQ$13)="",10^12,OFFSET(CRONOPLE!$F$14,$M98,AQ$13))))</f>
        <v>0</v>
      </c>
      <c r="AR98" s="181">
        <f ca="1">IF($D98&lt;&gt;"Serviço",0,IF(AND(AUTOEVENTO="Manual",$M98=1),0,IF(OFFSET(CRONOPLE!$F$14,$M98,AR$13)="",10^12,OFFSET(CRONOPLE!$F$14,$M98,AR$13))))</f>
        <v>0</v>
      </c>
      <c r="AS98" s="181">
        <f ca="1">IF($D98&lt;&gt;"Serviço",0,IF(AND(AUTOEVENTO="Manual",$M98=1),0,IF(OFFSET(CRONOPLE!$F$14,$M98,AS$13)="",10^12,OFFSET(CRONOPLE!$F$14,$M98,AS$13))))</f>
        <v>0</v>
      </c>
      <c r="AT98" s="181">
        <f ca="1">IF($D98&lt;&gt;"Serviço",0,IF(AND(AUTOEVENTO="Manual",$M98=1),0,IF(OFFSET(CRONOPLE!$F$14,$M98,AT$13)="",10^12,OFFSET(CRONOPLE!$F$14,$M98,AT$13))))</f>
        <v>0</v>
      </c>
      <c r="AU98" s="181">
        <f ca="1">IF($D98&lt;&gt;"Serviço",0,IF(AND(AUTOEVENTO="Manual",$M98=1),0,IF(OFFSET(CRONOPLE!$F$14,$M98,AU$13)="",10^12,OFFSET(CRONOPLE!$F$14,$M98,AU$13))))</f>
        <v>0</v>
      </c>
      <c r="AV98" s="181">
        <f ca="1">IF($D98&lt;&gt;"Serviço",0,IF(AND(AUTOEVENTO="Manual",$M98=1),0,IF(OFFSET(CRONOPLE!$F$14,$M98,AV$13)="",10^12,OFFSET(CRONOPLE!$F$14,$M98,AV$13))))</f>
        <v>0</v>
      </c>
      <c r="AX98" s="182">
        <f ca="1">IF($D98&lt;&gt;"Serviço",0,IF(OR(AND(AUTOEVENTO="Manual",$M98=1),$M98&gt;(ROW(PLE.lastrow)-ROW(PLE.firstrow))),0,IF(OFFSET(PLE!$G$14,$M98,AX$13)="",10^12,OFFSET(PLE!$G$14,$M98,AX$13))))</f>
        <v>0</v>
      </c>
      <c r="AY98" s="182">
        <f ca="1">IF($D98&lt;&gt;"Serviço",0,IF(OR(AND(AUTOEVENTO="Manual",$M98=1),$M98&gt;(ROW(PLE.lastrow)-ROW(PLE.firstrow))),0,IF(OFFSET(PLE!$G$14,$M98,AY$13)="",10^12,OFFSET(PLE!$G$14,$M98,AY$13))))</f>
        <v>0</v>
      </c>
      <c r="AZ98" s="182">
        <f ca="1">IF($D98&lt;&gt;"Serviço",0,IF(OR(AND(AUTOEVENTO="Manual",$M98=1),$M98&gt;(ROW(PLE.lastrow)-ROW(PLE.firstrow))),0,IF(OFFSET(PLE!$G$14,$M98,AZ$13)="",10^12,OFFSET(PLE!$G$14,$M98,AZ$13))))</f>
        <v>0</v>
      </c>
      <c r="BA98" s="182">
        <f ca="1">IF($D98&lt;&gt;"Serviço",0,IF(OR(AND(AUTOEVENTO="Manual",$M98=1),$M98&gt;(ROW(PLE.lastrow)-ROW(PLE.firstrow))),0,IF(OFFSET(PLE!$G$14,$M98,BA$13)="",10^12,OFFSET(PLE!$G$14,$M98,BA$13))))</f>
        <v>0</v>
      </c>
      <c r="BB98" s="182">
        <f ca="1">IF($D98&lt;&gt;"Serviço",0,IF(OR(AND(AUTOEVENTO="Manual",$M98=1),$M98&gt;(ROW(PLE.lastrow)-ROW(PLE.firstrow))),0,IF(OFFSET(PLE!$G$14,$M98,BB$13)="",10^12,OFFSET(PLE!$G$14,$M98,BB$13))))</f>
        <v>0</v>
      </c>
      <c r="BC98" s="182">
        <f ca="1">IF($D98&lt;&gt;"Serviço",0,IF(OR(AND(AUTOEVENTO="Manual",$M98=1),$M98&gt;(ROW(PLE.lastrow)-ROW(PLE.firstrow))),0,IF(OFFSET(PLE!$G$14,$M98,BC$13)="",10^12,OFFSET(PLE!$G$14,$M98,BC$13))))</f>
        <v>0</v>
      </c>
      <c r="BD98" s="182">
        <f ca="1">IF($D98&lt;&gt;"Serviço",0,IF(OR(AND(AUTOEVENTO="Manual",$M98=1),$M98&gt;(ROW(PLE.lastrow)-ROW(PLE.firstrow))),0,IF(OFFSET(PLE!$G$14,$M98,BD$13)="",10^12,OFFSET(PLE!$G$14,$M98,BD$13))))</f>
        <v>0</v>
      </c>
      <c r="BE98" s="182">
        <f ca="1">IF($D98&lt;&gt;"Serviço",0,IF(OR(AND(AUTOEVENTO="Manual",$M98=1),$M98&gt;(ROW(PLE.lastrow)-ROW(PLE.firstrow))),0,IF(OFFSET(PLE!$G$14,$M98,BE$13)="",10^12,OFFSET(PLE!$G$14,$M98,BE$13))))</f>
        <v>0</v>
      </c>
      <c r="BF98" s="182">
        <f ca="1">IF($D98&lt;&gt;"Serviço",0,IF(OR(AND(AUTOEVENTO="Manual",$M98=1),$M98&gt;(ROW(PLE.lastrow)-ROW(PLE.firstrow))),0,IF(OFFSET(PLE!$G$14,$M98,BF$13)="",10^12,OFFSET(PLE!$G$14,$M98,BF$13))))</f>
        <v>0</v>
      </c>
      <c r="BG98" s="182">
        <f ca="1">IF($D98&lt;&gt;"Serviço",0,IF(OR(AND(AUTOEVENTO="Manual",$M98=1),$M98&gt;(ROW(PLE.lastrow)-ROW(PLE.firstrow))),0,IF(OFFSET(PLE!$G$14,$M98,BG$13)="",10^12,OFFSET(PLE!$G$14,$M98,BG$13))))</f>
        <v>0</v>
      </c>
    </row>
    <row r="99" spans="1:59" ht="51" x14ac:dyDescent="0.2">
      <c r="A99" s="7" t="str">
        <f ca="1">IF(AUTOEVENTO="Manual",IF(K99&lt;&gt;"",MIN(VALUE(LEFT(K99,FIND(".",K99)-1)),COUNTA(EVENTOS.Lista)),0),IF(OR($B99&gt;AUTOEVENTO,$B99="S",$B99=0),SUBSTITUTE(OFFSET($A99,-1,0),IF($D99="Serviço",".",""),""),ROW(A99)-ROW($A$15)&amp;"."))</f>
        <v>83</v>
      </c>
      <c r="B99" s="7" t="str">
        <f ca="1">OFFSET(ORÇAMENTO!C$15,ROW(B99)-ROW(B$15),0)</f>
        <v>S</v>
      </c>
      <c r="C99" s="7" t="str">
        <f ca="1">OFFSET(ORÇAMENTO!L$15,ROW(C99)-ROW(C$15),0)</f>
        <v>F</v>
      </c>
      <c r="D99" s="118" t="str">
        <f ca="1">OFFSET(ORÇAMENTO!N$15,ROW(D99)-ROW(D$15),0)</f>
        <v>Serviço</v>
      </c>
      <c r="E99" s="119" t="str">
        <f ca="1">OFFSET(ORÇAMENTO!O$15,ROW(E99)-ROW(E$15),0)</f>
        <v>6.3.1.</v>
      </c>
      <c r="F99" s="172" t="str">
        <f ca="1">OFFSET(ORÇAMENTO!R$15,ROW(F99)-ROW(F$15),0)</f>
        <v>KIT CAVALETE PARA MEDIÇÃO DE ÁGUA - ENTRADA INDIVIDUALIZADA, EM PPR PN20 DN 25 MM (3/4") PARA 1 MEDIDOR - FORNECIMENTO E INSTALAÇÃO (EXCLUSIVE HIDRÔMETRO). AF_03/2024</v>
      </c>
      <c r="G99" s="173" t="str">
        <f ca="1">IF($D99&lt;&gt;"Serviço","",OFFSET(ORÇAMENTO!S$15,ROW(G99)-ROW(G$15),0))</f>
        <v>UN</v>
      </c>
      <c r="H99" s="124">
        <f ca="1">IF($D99&lt;&gt;"Serviço",0,IF(ACOMPANHAMENTO="BM",ROUND(OFFSET(ORÇAMENTO!AJ$15,ROW(H99)-ROW(H$15),0),15-13*ORÇAMENTO!$AF$7),SUMPRODUCT(($Q$12:$AA$12&lt;&gt;"")*ROUND($Q99:$AA99,15-13*ORÇAMENTO!$AF$7))))</f>
        <v>1</v>
      </c>
      <c r="I99" s="561"/>
      <c r="K99" s="174"/>
      <c r="L99" s="175" t="s">
        <v>255</v>
      </c>
      <c r="M99" s="176">
        <f ca="1">IF($D99&lt;&gt;"Serviço","",IF(AUTOEVENTO="manual",$A99,IF(ISERROR(MATCH($A99,$A$15:OFFSET($A99,-1,0),0)),MAX($M$15:OFFSET(M99,-1,0))+1,INDEX($M$15:OFFSET(M99,-1,0),MATCH($A99,$A$15:OFFSET($A99,-1,0),0)))))</f>
        <v>16</v>
      </c>
      <c r="N99" s="177" t="str">
        <f ca="1">IF($D99&lt;&gt;"Serviço","",IF(AUTOEVENTO="Manual",IF($A99=0,"&lt;-- defina o número do agrupador",OFFSET(EVENTOS!$D$14,$A99,0)),OFFSET($F$15,$A99,0)))</f>
        <v xml:space="preserve">INSTALAÇÕES HIDROSSANITÁRIAS </v>
      </c>
      <c r="O99" s="178"/>
      <c r="Q99" s="178"/>
      <c r="R99" s="179"/>
      <c r="S99" s="179"/>
      <c r="T99" s="179"/>
      <c r="U99" s="179"/>
      <c r="V99" s="179"/>
      <c r="W99" s="179"/>
      <c r="X99" s="179"/>
      <c r="Y99" s="179"/>
      <c r="Z99" s="180"/>
      <c r="AB99" s="544">
        <f ca="1">IF(AND($D99="Serviço",AB$12&lt;&gt;0,$H99&gt;0,OR(AUTOEVENTO&lt;&gt;"manual",$M99&lt;&gt;1)),
IF(Import.TipoArredondamento&lt;&gt;"TransfereGOV",
ROUND(OFFSET($P99,0,AB$13),15-13*ORÇAMENTO!$AF$7)/$H99*OFFSET(ORÇAMENTO!$X$15,ROW(AB99)-ROW(AB$15),0),
ROUND(ROUND(OFFSET($P99,0,AB$13),15-13*ORÇAMENTO!$AF$7)*OFFSET(ORÇAMENTO!$W$15,ROW(AB99)-ROW(AB$15),0),15-13*ORÇAMENTO!$AF$11)),0)</f>
        <v>0</v>
      </c>
      <c r="AC99" s="545">
        <f ca="1">IF(AND($D99="Serviço",AC$12&lt;&gt;0,$H99&gt;0,OR(AUTOEVENTO&lt;&gt;"manual",$M99&lt;&gt;1)),
IF(Import.TipoArredondamento&lt;&gt;"TransfereGOV",
ROUND(OFFSET($P99,0,AC$13),15-13*ORÇAMENTO!$AF$7)/$H99*OFFSET(ORÇAMENTO!$X$15,ROW(AC99)-ROW(AC$15),0),
ROUND(ROUND(OFFSET($P99,0,AC$13),15-13*ORÇAMENTO!$AF$7)*OFFSET(ORÇAMENTO!$W$15,ROW(AC99)-ROW(AC$15),0),15-13*ORÇAMENTO!$AF$11)),0)</f>
        <v>0</v>
      </c>
      <c r="AD99" s="545">
        <f ca="1">IF(AND($D99="Serviço",AD$12&lt;&gt;0,$H99&gt;0,OR(AUTOEVENTO&lt;&gt;"manual",$M99&lt;&gt;1)),
IF(Import.TipoArredondamento&lt;&gt;"TransfereGOV",
ROUND(OFFSET($P99,0,AD$13),15-13*ORÇAMENTO!$AF$7)/$H99*OFFSET(ORÇAMENTO!$X$15,ROW(AD99)-ROW(AD$15),0),
ROUND(ROUND(OFFSET($P99,0,AD$13),15-13*ORÇAMENTO!$AF$7)*OFFSET(ORÇAMENTO!$W$15,ROW(AD99)-ROW(AD$15),0),15-13*ORÇAMENTO!$AF$11)),0)</f>
        <v>0</v>
      </c>
      <c r="AE99" s="545">
        <f ca="1">IF(AND($D99="Serviço",AE$12&lt;&gt;0,$H99&gt;0,OR(AUTOEVENTO&lt;&gt;"manual",$M99&lt;&gt;1)),
IF(Import.TipoArredondamento&lt;&gt;"TransfereGOV",
ROUND(OFFSET($P99,0,AE$13),15-13*ORÇAMENTO!$AF$7)/$H99*OFFSET(ORÇAMENTO!$X$15,ROW(AE99)-ROW(AE$15),0),
ROUND(ROUND(OFFSET($P99,0,AE$13),15-13*ORÇAMENTO!$AF$7)*OFFSET(ORÇAMENTO!$W$15,ROW(AE99)-ROW(AE$15),0),15-13*ORÇAMENTO!$AF$11)),0)</f>
        <v>0</v>
      </c>
      <c r="AF99" s="545">
        <f ca="1">IF(AND($D99="Serviço",AF$12&lt;&gt;0,$H99&gt;0,OR(AUTOEVENTO&lt;&gt;"manual",$M99&lt;&gt;1)),
IF(Import.TipoArredondamento&lt;&gt;"TransfereGOV",
ROUND(OFFSET($P99,0,AF$13),15-13*ORÇAMENTO!$AF$7)/$H99*OFFSET(ORÇAMENTO!$X$15,ROW(AF99)-ROW(AF$15),0),
ROUND(ROUND(OFFSET($P99,0,AF$13),15-13*ORÇAMENTO!$AF$7)*OFFSET(ORÇAMENTO!$W$15,ROW(AF99)-ROW(AF$15),0),15-13*ORÇAMENTO!$AF$11)),0)</f>
        <v>0</v>
      </c>
      <c r="AG99" s="545">
        <f ca="1">IF(AND($D99="Serviço",AG$12&lt;&gt;0,$H99&gt;0,OR(AUTOEVENTO&lt;&gt;"manual",$M99&lt;&gt;1)),
IF(Import.TipoArredondamento&lt;&gt;"TransfereGOV",
ROUND(OFFSET($P99,0,AG$13),15-13*ORÇAMENTO!$AF$7)/$H99*OFFSET(ORÇAMENTO!$X$15,ROW(AG99)-ROW(AG$15),0),
ROUND(ROUND(OFFSET($P99,0,AG$13),15-13*ORÇAMENTO!$AF$7)*OFFSET(ORÇAMENTO!$W$15,ROW(AG99)-ROW(AG$15),0),15-13*ORÇAMENTO!$AF$11)),0)</f>
        <v>0</v>
      </c>
      <c r="AH99" s="545">
        <f ca="1">IF(AND($D99="Serviço",AH$12&lt;&gt;0,$H99&gt;0,OR(AUTOEVENTO&lt;&gt;"manual",$M99&lt;&gt;1)),
IF(Import.TipoArredondamento&lt;&gt;"TransfereGOV",
ROUND(OFFSET($P99,0,AH$13),15-13*ORÇAMENTO!$AF$7)/$H99*OFFSET(ORÇAMENTO!$X$15,ROW(AH99)-ROW(AH$15),0),
ROUND(ROUND(OFFSET($P99,0,AH$13),15-13*ORÇAMENTO!$AF$7)*OFFSET(ORÇAMENTO!$W$15,ROW(AH99)-ROW(AH$15),0),15-13*ORÇAMENTO!$AF$11)),0)</f>
        <v>0</v>
      </c>
      <c r="AI99" s="545">
        <f ca="1">IF(AND($D99="Serviço",AI$12&lt;&gt;0,$H99&gt;0,OR(AUTOEVENTO&lt;&gt;"manual",$M99&lt;&gt;1)),
IF(Import.TipoArredondamento&lt;&gt;"TransfereGOV",
ROUND(OFFSET($P99,0,AI$13),15-13*ORÇAMENTO!$AF$7)/$H99*OFFSET(ORÇAMENTO!$X$15,ROW(AI99)-ROW(AI$15),0),
ROUND(ROUND(OFFSET($P99,0,AI$13),15-13*ORÇAMENTO!$AF$7)*OFFSET(ORÇAMENTO!$W$15,ROW(AI99)-ROW(AI$15),0),15-13*ORÇAMENTO!$AF$11)),0)</f>
        <v>0</v>
      </c>
      <c r="AJ99" s="545">
        <f ca="1">IF(AND($D99="Serviço",AJ$12&lt;&gt;0,$H99&gt;0,OR(AUTOEVENTO&lt;&gt;"manual",$M99&lt;&gt;1)),
IF(Import.TipoArredondamento&lt;&gt;"TransfereGOV",
ROUND(OFFSET($P99,0,AJ$13),15-13*ORÇAMENTO!$AF$7)/$H99*OFFSET(ORÇAMENTO!$X$15,ROW(AJ99)-ROW(AJ$15),0),
ROUND(ROUND(OFFSET($P99,0,AJ$13),15-13*ORÇAMENTO!$AF$7)*OFFSET(ORÇAMENTO!$W$15,ROW(AJ99)-ROW(AJ$15),0),15-13*ORÇAMENTO!$AF$11)),0)</f>
        <v>0</v>
      </c>
      <c r="AK99" s="546">
        <f ca="1">IF(AND($D99="Serviço",AK$12&lt;&gt;0,$H99&gt;0,OR(AUTOEVENTO&lt;&gt;"manual",$M99&lt;&gt;1)),
IF(Import.TipoArredondamento&lt;&gt;"TransfereGOV",
ROUND(OFFSET($P99,0,AK$13),15-13*ORÇAMENTO!$AF$7)/$H99*OFFSET(ORÇAMENTO!$X$15,ROW(AK99)-ROW(AK$15),0),
ROUND(ROUND(OFFSET($P99,0,AK$13),15-13*ORÇAMENTO!$AF$7)*OFFSET(ORÇAMENTO!$W$15,ROW(AK99)-ROW(AK$15),0),15-13*ORÇAMENTO!$AF$11)),0)</f>
        <v>0</v>
      </c>
      <c r="AM99" s="181">
        <f ca="1">IF($D99&lt;&gt;"Serviço",0,IF(AND(AUTOEVENTO="Manual",$M99=1),0,IF(OFFSET(CRONOPLE!$F$14,$M99,AM$13)="",10^12,OFFSET(CRONOPLE!$F$14,$M99,AM$13))))</f>
        <v>1000000000000</v>
      </c>
      <c r="AN99" s="181">
        <f ca="1">IF($D99&lt;&gt;"Serviço",0,IF(AND(AUTOEVENTO="Manual",$M99=1),0,IF(OFFSET(CRONOPLE!$F$14,$M99,AN$13)="",10^12,OFFSET(CRONOPLE!$F$14,$M99,AN$13))))</f>
        <v>1000000000000</v>
      </c>
      <c r="AO99" s="181">
        <f ca="1">IF($D99&lt;&gt;"Serviço",0,IF(AND(AUTOEVENTO="Manual",$M99=1),0,IF(OFFSET(CRONOPLE!$F$14,$M99,AO$13)="",10^12,OFFSET(CRONOPLE!$F$14,$M99,AO$13))))</f>
        <v>1000000000000</v>
      </c>
      <c r="AP99" s="181">
        <f ca="1">IF($D99&lt;&gt;"Serviço",0,IF(AND(AUTOEVENTO="Manual",$M99=1),0,IF(OFFSET(CRONOPLE!$F$14,$M99,AP$13)="",10^12,OFFSET(CRONOPLE!$F$14,$M99,AP$13))))</f>
        <v>1000000000000</v>
      </c>
      <c r="AQ99" s="181">
        <f ca="1">IF($D99&lt;&gt;"Serviço",0,IF(AND(AUTOEVENTO="Manual",$M99=1),0,IF(OFFSET(CRONOPLE!$F$14,$M99,AQ$13)="",10^12,OFFSET(CRONOPLE!$F$14,$M99,AQ$13))))</f>
        <v>1000000000000</v>
      </c>
      <c r="AR99" s="181">
        <f ca="1">IF($D99&lt;&gt;"Serviço",0,IF(AND(AUTOEVENTO="Manual",$M99=1),0,IF(OFFSET(CRONOPLE!$F$14,$M99,AR$13)="",10^12,OFFSET(CRONOPLE!$F$14,$M99,AR$13))))</f>
        <v>1000000000000</v>
      </c>
      <c r="AS99" s="181">
        <f ca="1">IF($D99&lt;&gt;"Serviço",0,IF(AND(AUTOEVENTO="Manual",$M99=1),0,IF(OFFSET(CRONOPLE!$F$14,$M99,AS$13)="",10^12,OFFSET(CRONOPLE!$F$14,$M99,AS$13))))</f>
        <v>1000000000000</v>
      </c>
      <c r="AT99" s="181">
        <f ca="1">IF($D99&lt;&gt;"Serviço",0,IF(AND(AUTOEVENTO="Manual",$M99=1),0,IF(OFFSET(CRONOPLE!$F$14,$M99,AT$13)="",10^12,OFFSET(CRONOPLE!$F$14,$M99,AT$13))))</f>
        <v>1000000000000</v>
      </c>
      <c r="AU99" s="181">
        <f ca="1">IF($D99&lt;&gt;"Serviço",0,IF(AND(AUTOEVENTO="Manual",$M99=1),0,IF(OFFSET(CRONOPLE!$F$14,$M99,AU$13)="",10^12,OFFSET(CRONOPLE!$F$14,$M99,AU$13))))</f>
        <v>1000000000000</v>
      </c>
      <c r="AV99" s="181">
        <f ca="1">IF($D99&lt;&gt;"Serviço",0,IF(AND(AUTOEVENTO="Manual",$M99=1),0,IF(OFFSET(CRONOPLE!$F$14,$M99,AV$13)="",10^12,OFFSET(CRONOPLE!$F$14,$M99,AV$13))))</f>
        <v>1000000000000</v>
      </c>
      <c r="AX99" s="182">
        <f ca="1">IF($D99&lt;&gt;"Serviço",0,IF(OR(AND(AUTOEVENTO="Manual",$M99=1),$M99&gt;(ROW(PLE.lastrow)-ROW(PLE.firstrow))),0,IF(OFFSET(PLE!$G$14,$M99,AX$13)="",10^12,OFFSET(PLE!$G$14,$M99,AX$13))))</f>
        <v>1000000000000</v>
      </c>
      <c r="AY99" s="182">
        <f ca="1">IF($D99&lt;&gt;"Serviço",0,IF(OR(AND(AUTOEVENTO="Manual",$M99=1),$M99&gt;(ROW(PLE.lastrow)-ROW(PLE.firstrow))),0,IF(OFFSET(PLE!$G$14,$M99,AY$13)="",10^12,OFFSET(PLE!$G$14,$M99,AY$13))))</f>
        <v>1000000000000</v>
      </c>
      <c r="AZ99" s="182">
        <f ca="1">IF($D99&lt;&gt;"Serviço",0,IF(OR(AND(AUTOEVENTO="Manual",$M99=1),$M99&gt;(ROW(PLE.lastrow)-ROW(PLE.firstrow))),0,IF(OFFSET(PLE!$G$14,$M99,AZ$13)="",10^12,OFFSET(PLE!$G$14,$M99,AZ$13))))</f>
        <v>1000000000000</v>
      </c>
      <c r="BA99" s="182">
        <f ca="1">IF($D99&lt;&gt;"Serviço",0,IF(OR(AND(AUTOEVENTO="Manual",$M99=1),$M99&gt;(ROW(PLE.lastrow)-ROW(PLE.firstrow))),0,IF(OFFSET(PLE!$G$14,$M99,BA$13)="",10^12,OFFSET(PLE!$G$14,$M99,BA$13))))</f>
        <v>1000000000000</v>
      </c>
      <c r="BB99" s="182">
        <f ca="1">IF($D99&lt;&gt;"Serviço",0,IF(OR(AND(AUTOEVENTO="Manual",$M99=1),$M99&gt;(ROW(PLE.lastrow)-ROW(PLE.firstrow))),0,IF(OFFSET(PLE!$G$14,$M99,BB$13)="",10^12,OFFSET(PLE!$G$14,$M99,BB$13))))</f>
        <v>1000000000000</v>
      </c>
      <c r="BC99" s="182">
        <f ca="1">IF($D99&lt;&gt;"Serviço",0,IF(OR(AND(AUTOEVENTO="Manual",$M99=1),$M99&gt;(ROW(PLE.lastrow)-ROW(PLE.firstrow))),0,IF(OFFSET(PLE!$G$14,$M99,BC$13)="",10^12,OFFSET(PLE!$G$14,$M99,BC$13))))</f>
        <v>1000000000000</v>
      </c>
      <c r="BD99" s="182">
        <f ca="1">IF($D99&lt;&gt;"Serviço",0,IF(OR(AND(AUTOEVENTO="Manual",$M99=1),$M99&gt;(ROW(PLE.lastrow)-ROW(PLE.firstrow))),0,IF(OFFSET(PLE!$G$14,$M99,BD$13)="",10^12,OFFSET(PLE!$G$14,$M99,BD$13))))</f>
        <v>1000000000000</v>
      </c>
      <c r="BE99" s="182">
        <f ca="1">IF($D99&lt;&gt;"Serviço",0,IF(OR(AND(AUTOEVENTO="Manual",$M99=1),$M99&gt;(ROW(PLE.lastrow)-ROW(PLE.firstrow))),0,IF(OFFSET(PLE!$G$14,$M99,BE$13)="",10^12,OFFSET(PLE!$G$14,$M99,BE$13))))</f>
        <v>1000000000000</v>
      </c>
      <c r="BF99" s="182">
        <f ca="1">IF($D99&lt;&gt;"Serviço",0,IF(OR(AND(AUTOEVENTO="Manual",$M99=1),$M99&gt;(ROW(PLE.lastrow)-ROW(PLE.firstrow))),0,IF(OFFSET(PLE!$G$14,$M99,BF$13)="",10^12,OFFSET(PLE!$G$14,$M99,BF$13))))</f>
        <v>1000000000000</v>
      </c>
      <c r="BG99" s="182">
        <f ca="1">IF($D99&lt;&gt;"Serviço",0,IF(OR(AND(AUTOEVENTO="Manual",$M99=1),$M99&gt;(ROW(PLE.lastrow)-ROW(PLE.firstrow))),0,IF(OFFSET(PLE!$G$14,$M99,BG$13)="",10^12,OFFSET(PLE!$G$14,$M99,BG$13))))</f>
        <v>1000000000000</v>
      </c>
    </row>
    <row r="100" spans="1:59" ht="25.5" x14ac:dyDescent="0.2">
      <c r="A100" s="7" t="str">
        <f t="shared" ca="1" si="8"/>
        <v>83</v>
      </c>
      <c r="B100" s="7" t="str">
        <f ca="1">OFFSET(ORÇAMENTO!C$15,ROW(B100)-ROW(B$15),0)</f>
        <v>S</v>
      </c>
      <c r="C100" s="7" t="str">
        <f ca="1">OFFSET(ORÇAMENTO!L$15,ROW(C100)-ROW(C$15),0)</f>
        <v>F</v>
      </c>
      <c r="D100" s="118" t="str">
        <f ca="1">OFFSET(ORÇAMENTO!N$15,ROW(D100)-ROW(D$15),0)</f>
        <v>Serviço</v>
      </c>
      <c r="E100" s="119" t="str">
        <f ca="1">OFFSET(ORÇAMENTO!O$15,ROW(E100)-ROW(E$15),0)</f>
        <v>6.3.2.</v>
      </c>
      <c r="F100" s="172" t="str">
        <f ca="1">OFFSET(ORÇAMENTO!R$15,ROW(F100)-ROW(F$15),0)</f>
        <v>TUBO, PVC, SOLDÁVEL, DE 25MM, INSTALADO EM PRUMADA DE ÁGUA - FORNECIMENTO E INSTALAÇÃO. AF_06/2022</v>
      </c>
      <c r="G100" s="173" t="str">
        <f ca="1">IF($D100&lt;&gt;"Serviço","",OFFSET(ORÇAMENTO!S$15,ROW(G100)-ROW(G$15),0))</f>
        <v>M</v>
      </c>
      <c r="H100" s="124">
        <f ca="1">IF($D100&lt;&gt;"Serviço",0,IF(ACOMPANHAMENTO="BM",ROUND(OFFSET(ORÇAMENTO!AJ$15,ROW(H100)-ROW(H$15),0),15-13*ORÇAMENTO!$AF$7),SUMPRODUCT(($Q$12:$AA$12&lt;&gt;"")*ROUND($Q100:$AA100,15-13*ORÇAMENTO!$AF$7))))</f>
        <v>26.4</v>
      </c>
      <c r="I100" s="561"/>
      <c r="K100" s="174"/>
      <c r="L100" s="175" t="s">
        <v>255</v>
      </c>
      <c r="M100" s="176">
        <f ca="1">IF($D100&lt;&gt;"Serviço","",IF(AUTOEVENTO="manual",$A100,IF(ISERROR(MATCH($A100,$A$15:OFFSET($A100,-1,0),0)),MAX($M$15:OFFSET(M100,-1,0))+1,INDEX($M$15:OFFSET(M100,-1,0),MATCH($A100,$A$15:OFFSET($A100,-1,0),0)))))</f>
        <v>16</v>
      </c>
      <c r="N100" s="177" t="str">
        <f ca="1">IF($D100&lt;&gt;"Serviço","",IF(AUTOEVENTO="Manual",IF($A100=0,"&lt;-- defina o número do agrupador",OFFSET(EVENTOS!$D$14,$A100,0)),OFFSET($F$15,$A100,0)))</f>
        <v xml:space="preserve">INSTALAÇÕES HIDROSSANITÁRIAS </v>
      </c>
      <c r="O100" s="178"/>
      <c r="Q100" s="178"/>
      <c r="R100" s="179"/>
      <c r="S100" s="179"/>
      <c r="T100" s="179"/>
      <c r="U100" s="179"/>
      <c r="V100" s="179"/>
      <c r="W100" s="179"/>
      <c r="X100" s="179"/>
      <c r="Y100" s="179"/>
      <c r="Z100" s="180"/>
      <c r="AB100" s="544">
        <f ca="1">IF(AND($D100="Serviço",AB$12&lt;&gt;0,$H100&gt;0,OR(AUTOEVENTO&lt;&gt;"manual",$M100&lt;&gt;1)),
IF(Import.TipoArredondamento&lt;&gt;"TransfereGOV",
ROUND(OFFSET($P100,0,AB$13),15-13*ORÇAMENTO!$AF$7)/$H100*OFFSET(ORÇAMENTO!$X$15,ROW(AB100)-ROW(AB$15),0),
ROUND(ROUND(OFFSET($P100,0,AB$13),15-13*ORÇAMENTO!$AF$7)*OFFSET(ORÇAMENTO!$W$15,ROW(AB100)-ROW(AB$15),0),15-13*ORÇAMENTO!$AF$11)),0)</f>
        <v>0</v>
      </c>
      <c r="AC100" s="545">
        <f ca="1">IF(AND($D100="Serviço",AC$12&lt;&gt;0,$H100&gt;0,OR(AUTOEVENTO&lt;&gt;"manual",$M100&lt;&gt;1)),
IF(Import.TipoArredondamento&lt;&gt;"TransfereGOV",
ROUND(OFFSET($P100,0,AC$13),15-13*ORÇAMENTO!$AF$7)/$H100*OFFSET(ORÇAMENTO!$X$15,ROW(AC100)-ROW(AC$15),0),
ROUND(ROUND(OFFSET($P100,0,AC$13),15-13*ORÇAMENTO!$AF$7)*OFFSET(ORÇAMENTO!$W$15,ROW(AC100)-ROW(AC$15),0),15-13*ORÇAMENTO!$AF$11)),0)</f>
        <v>0</v>
      </c>
      <c r="AD100" s="545">
        <f ca="1">IF(AND($D100="Serviço",AD$12&lt;&gt;0,$H100&gt;0,OR(AUTOEVENTO&lt;&gt;"manual",$M100&lt;&gt;1)),
IF(Import.TipoArredondamento&lt;&gt;"TransfereGOV",
ROUND(OFFSET($P100,0,AD$13),15-13*ORÇAMENTO!$AF$7)/$H100*OFFSET(ORÇAMENTO!$X$15,ROW(AD100)-ROW(AD$15),0),
ROUND(ROUND(OFFSET($P100,0,AD$13),15-13*ORÇAMENTO!$AF$7)*OFFSET(ORÇAMENTO!$W$15,ROW(AD100)-ROW(AD$15),0),15-13*ORÇAMENTO!$AF$11)),0)</f>
        <v>0</v>
      </c>
      <c r="AE100" s="545">
        <f ca="1">IF(AND($D100="Serviço",AE$12&lt;&gt;0,$H100&gt;0,OR(AUTOEVENTO&lt;&gt;"manual",$M100&lt;&gt;1)),
IF(Import.TipoArredondamento&lt;&gt;"TransfereGOV",
ROUND(OFFSET($P100,0,AE$13),15-13*ORÇAMENTO!$AF$7)/$H100*OFFSET(ORÇAMENTO!$X$15,ROW(AE100)-ROW(AE$15),0),
ROUND(ROUND(OFFSET($P100,0,AE$13),15-13*ORÇAMENTO!$AF$7)*OFFSET(ORÇAMENTO!$W$15,ROW(AE100)-ROW(AE$15),0),15-13*ORÇAMENTO!$AF$11)),0)</f>
        <v>0</v>
      </c>
      <c r="AF100" s="545">
        <f ca="1">IF(AND($D100="Serviço",AF$12&lt;&gt;0,$H100&gt;0,OR(AUTOEVENTO&lt;&gt;"manual",$M100&lt;&gt;1)),
IF(Import.TipoArredondamento&lt;&gt;"TransfereGOV",
ROUND(OFFSET($P100,0,AF$13),15-13*ORÇAMENTO!$AF$7)/$H100*OFFSET(ORÇAMENTO!$X$15,ROW(AF100)-ROW(AF$15),0),
ROUND(ROUND(OFFSET($P100,0,AF$13),15-13*ORÇAMENTO!$AF$7)*OFFSET(ORÇAMENTO!$W$15,ROW(AF100)-ROW(AF$15),0),15-13*ORÇAMENTO!$AF$11)),0)</f>
        <v>0</v>
      </c>
      <c r="AG100" s="545">
        <f ca="1">IF(AND($D100="Serviço",AG$12&lt;&gt;0,$H100&gt;0,OR(AUTOEVENTO&lt;&gt;"manual",$M100&lt;&gt;1)),
IF(Import.TipoArredondamento&lt;&gt;"TransfereGOV",
ROUND(OFFSET($P100,0,AG$13),15-13*ORÇAMENTO!$AF$7)/$H100*OFFSET(ORÇAMENTO!$X$15,ROW(AG100)-ROW(AG$15),0),
ROUND(ROUND(OFFSET($P100,0,AG$13),15-13*ORÇAMENTO!$AF$7)*OFFSET(ORÇAMENTO!$W$15,ROW(AG100)-ROW(AG$15),0),15-13*ORÇAMENTO!$AF$11)),0)</f>
        <v>0</v>
      </c>
      <c r="AH100" s="545">
        <f ca="1">IF(AND($D100="Serviço",AH$12&lt;&gt;0,$H100&gt;0,OR(AUTOEVENTO&lt;&gt;"manual",$M100&lt;&gt;1)),
IF(Import.TipoArredondamento&lt;&gt;"TransfereGOV",
ROUND(OFFSET($P100,0,AH$13),15-13*ORÇAMENTO!$AF$7)/$H100*OFFSET(ORÇAMENTO!$X$15,ROW(AH100)-ROW(AH$15),0),
ROUND(ROUND(OFFSET($P100,0,AH$13),15-13*ORÇAMENTO!$AF$7)*OFFSET(ORÇAMENTO!$W$15,ROW(AH100)-ROW(AH$15),0),15-13*ORÇAMENTO!$AF$11)),0)</f>
        <v>0</v>
      </c>
      <c r="AI100" s="545">
        <f ca="1">IF(AND($D100="Serviço",AI$12&lt;&gt;0,$H100&gt;0,OR(AUTOEVENTO&lt;&gt;"manual",$M100&lt;&gt;1)),
IF(Import.TipoArredondamento&lt;&gt;"TransfereGOV",
ROUND(OFFSET($P100,0,AI$13),15-13*ORÇAMENTO!$AF$7)/$H100*OFFSET(ORÇAMENTO!$X$15,ROW(AI100)-ROW(AI$15),0),
ROUND(ROUND(OFFSET($P100,0,AI$13),15-13*ORÇAMENTO!$AF$7)*OFFSET(ORÇAMENTO!$W$15,ROW(AI100)-ROW(AI$15),0),15-13*ORÇAMENTO!$AF$11)),0)</f>
        <v>0</v>
      </c>
      <c r="AJ100" s="545">
        <f ca="1">IF(AND($D100="Serviço",AJ$12&lt;&gt;0,$H100&gt;0,OR(AUTOEVENTO&lt;&gt;"manual",$M100&lt;&gt;1)),
IF(Import.TipoArredondamento&lt;&gt;"TransfereGOV",
ROUND(OFFSET($P100,0,AJ$13),15-13*ORÇAMENTO!$AF$7)/$H100*OFFSET(ORÇAMENTO!$X$15,ROW(AJ100)-ROW(AJ$15),0),
ROUND(ROUND(OFFSET($P100,0,AJ$13),15-13*ORÇAMENTO!$AF$7)*OFFSET(ORÇAMENTO!$W$15,ROW(AJ100)-ROW(AJ$15),0),15-13*ORÇAMENTO!$AF$11)),0)</f>
        <v>0</v>
      </c>
      <c r="AK100" s="546">
        <f ca="1">IF(AND($D100="Serviço",AK$12&lt;&gt;0,$H100&gt;0,OR(AUTOEVENTO&lt;&gt;"manual",$M100&lt;&gt;1)),
IF(Import.TipoArredondamento&lt;&gt;"TransfereGOV",
ROUND(OFFSET($P100,0,AK$13),15-13*ORÇAMENTO!$AF$7)/$H100*OFFSET(ORÇAMENTO!$X$15,ROW(AK100)-ROW(AK$15),0),
ROUND(ROUND(OFFSET($P100,0,AK$13),15-13*ORÇAMENTO!$AF$7)*OFFSET(ORÇAMENTO!$W$15,ROW(AK100)-ROW(AK$15),0),15-13*ORÇAMENTO!$AF$11)),0)</f>
        <v>0</v>
      </c>
      <c r="AM100" s="181">
        <f ca="1">IF($D100&lt;&gt;"Serviço",0,IF(AND(AUTOEVENTO="Manual",$M100=1),0,IF(OFFSET(CRONOPLE!$F$14,$M100,AM$13)="",10^12,OFFSET(CRONOPLE!$F$14,$M100,AM$13))))</f>
        <v>1000000000000</v>
      </c>
      <c r="AN100" s="181">
        <f ca="1">IF($D100&lt;&gt;"Serviço",0,IF(AND(AUTOEVENTO="Manual",$M100=1),0,IF(OFFSET(CRONOPLE!$F$14,$M100,AN$13)="",10^12,OFFSET(CRONOPLE!$F$14,$M100,AN$13))))</f>
        <v>1000000000000</v>
      </c>
      <c r="AO100" s="181">
        <f ca="1">IF($D100&lt;&gt;"Serviço",0,IF(AND(AUTOEVENTO="Manual",$M100=1),0,IF(OFFSET(CRONOPLE!$F$14,$M100,AO$13)="",10^12,OFFSET(CRONOPLE!$F$14,$M100,AO$13))))</f>
        <v>1000000000000</v>
      </c>
      <c r="AP100" s="181">
        <f ca="1">IF($D100&lt;&gt;"Serviço",0,IF(AND(AUTOEVENTO="Manual",$M100=1),0,IF(OFFSET(CRONOPLE!$F$14,$M100,AP$13)="",10^12,OFFSET(CRONOPLE!$F$14,$M100,AP$13))))</f>
        <v>1000000000000</v>
      </c>
      <c r="AQ100" s="181">
        <f ca="1">IF($D100&lt;&gt;"Serviço",0,IF(AND(AUTOEVENTO="Manual",$M100=1),0,IF(OFFSET(CRONOPLE!$F$14,$M100,AQ$13)="",10^12,OFFSET(CRONOPLE!$F$14,$M100,AQ$13))))</f>
        <v>1000000000000</v>
      </c>
      <c r="AR100" s="181">
        <f ca="1">IF($D100&lt;&gt;"Serviço",0,IF(AND(AUTOEVENTO="Manual",$M100=1),0,IF(OFFSET(CRONOPLE!$F$14,$M100,AR$13)="",10^12,OFFSET(CRONOPLE!$F$14,$M100,AR$13))))</f>
        <v>1000000000000</v>
      </c>
      <c r="AS100" s="181">
        <f ca="1">IF($D100&lt;&gt;"Serviço",0,IF(AND(AUTOEVENTO="Manual",$M100=1),0,IF(OFFSET(CRONOPLE!$F$14,$M100,AS$13)="",10^12,OFFSET(CRONOPLE!$F$14,$M100,AS$13))))</f>
        <v>1000000000000</v>
      </c>
      <c r="AT100" s="181">
        <f ca="1">IF($D100&lt;&gt;"Serviço",0,IF(AND(AUTOEVENTO="Manual",$M100=1),0,IF(OFFSET(CRONOPLE!$F$14,$M100,AT$13)="",10^12,OFFSET(CRONOPLE!$F$14,$M100,AT$13))))</f>
        <v>1000000000000</v>
      </c>
      <c r="AU100" s="181">
        <f ca="1">IF($D100&lt;&gt;"Serviço",0,IF(AND(AUTOEVENTO="Manual",$M100=1),0,IF(OFFSET(CRONOPLE!$F$14,$M100,AU$13)="",10^12,OFFSET(CRONOPLE!$F$14,$M100,AU$13))))</f>
        <v>1000000000000</v>
      </c>
      <c r="AV100" s="181">
        <f ca="1">IF($D100&lt;&gt;"Serviço",0,IF(AND(AUTOEVENTO="Manual",$M100=1),0,IF(OFFSET(CRONOPLE!$F$14,$M100,AV$13)="",10^12,OFFSET(CRONOPLE!$F$14,$M100,AV$13))))</f>
        <v>1000000000000</v>
      </c>
      <c r="AX100" s="182">
        <f ca="1">IF($D100&lt;&gt;"Serviço",0,IF(OR(AND(AUTOEVENTO="Manual",$M100=1),$M100&gt;(ROW(PLE.lastrow)-ROW(PLE.firstrow))),0,IF(OFFSET(PLE!$G$14,$M100,AX$13)="",10^12,OFFSET(PLE!$G$14,$M100,AX$13))))</f>
        <v>1000000000000</v>
      </c>
      <c r="AY100" s="182">
        <f ca="1">IF($D100&lt;&gt;"Serviço",0,IF(OR(AND(AUTOEVENTO="Manual",$M100=1),$M100&gt;(ROW(PLE.lastrow)-ROW(PLE.firstrow))),0,IF(OFFSET(PLE!$G$14,$M100,AY$13)="",10^12,OFFSET(PLE!$G$14,$M100,AY$13))))</f>
        <v>1000000000000</v>
      </c>
      <c r="AZ100" s="182">
        <f ca="1">IF($D100&lt;&gt;"Serviço",0,IF(OR(AND(AUTOEVENTO="Manual",$M100=1),$M100&gt;(ROW(PLE.lastrow)-ROW(PLE.firstrow))),0,IF(OFFSET(PLE!$G$14,$M100,AZ$13)="",10^12,OFFSET(PLE!$G$14,$M100,AZ$13))))</f>
        <v>1000000000000</v>
      </c>
      <c r="BA100" s="182">
        <f ca="1">IF($D100&lt;&gt;"Serviço",0,IF(OR(AND(AUTOEVENTO="Manual",$M100=1),$M100&gt;(ROW(PLE.lastrow)-ROW(PLE.firstrow))),0,IF(OFFSET(PLE!$G$14,$M100,BA$13)="",10^12,OFFSET(PLE!$G$14,$M100,BA$13))))</f>
        <v>1000000000000</v>
      </c>
      <c r="BB100" s="182">
        <f ca="1">IF($D100&lt;&gt;"Serviço",0,IF(OR(AND(AUTOEVENTO="Manual",$M100=1),$M100&gt;(ROW(PLE.lastrow)-ROW(PLE.firstrow))),0,IF(OFFSET(PLE!$G$14,$M100,BB$13)="",10^12,OFFSET(PLE!$G$14,$M100,BB$13))))</f>
        <v>1000000000000</v>
      </c>
      <c r="BC100" s="182">
        <f ca="1">IF($D100&lt;&gt;"Serviço",0,IF(OR(AND(AUTOEVENTO="Manual",$M100=1),$M100&gt;(ROW(PLE.lastrow)-ROW(PLE.firstrow))),0,IF(OFFSET(PLE!$G$14,$M100,BC$13)="",10^12,OFFSET(PLE!$G$14,$M100,BC$13))))</f>
        <v>1000000000000</v>
      </c>
      <c r="BD100" s="182">
        <f ca="1">IF($D100&lt;&gt;"Serviço",0,IF(OR(AND(AUTOEVENTO="Manual",$M100=1),$M100&gt;(ROW(PLE.lastrow)-ROW(PLE.firstrow))),0,IF(OFFSET(PLE!$G$14,$M100,BD$13)="",10^12,OFFSET(PLE!$G$14,$M100,BD$13))))</f>
        <v>1000000000000</v>
      </c>
      <c r="BE100" s="182">
        <f ca="1">IF($D100&lt;&gt;"Serviço",0,IF(OR(AND(AUTOEVENTO="Manual",$M100=1),$M100&gt;(ROW(PLE.lastrow)-ROW(PLE.firstrow))),0,IF(OFFSET(PLE!$G$14,$M100,BE$13)="",10^12,OFFSET(PLE!$G$14,$M100,BE$13))))</f>
        <v>1000000000000</v>
      </c>
      <c r="BF100" s="182">
        <f ca="1">IF($D100&lt;&gt;"Serviço",0,IF(OR(AND(AUTOEVENTO="Manual",$M100=1),$M100&gt;(ROW(PLE.lastrow)-ROW(PLE.firstrow))),0,IF(OFFSET(PLE!$G$14,$M100,BF$13)="",10^12,OFFSET(PLE!$G$14,$M100,BF$13))))</f>
        <v>1000000000000</v>
      </c>
      <c r="BG100" s="182">
        <f ca="1">IF($D100&lt;&gt;"Serviço",0,IF(OR(AND(AUTOEVENTO="Manual",$M100=1),$M100&gt;(ROW(PLE.lastrow)-ROW(PLE.firstrow))),0,IF(OFFSET(PLE!$G$14,$M100,BG$13)="",10^12,OFFSET(PLE!$G$14,$M100,BG$13))))</f>
        <v>1000000000000</v>
      </c>
    </row>
    <row r="101" spans="1:59" ht="38.25" x14ac:dyDescent="0.2">
      <c r="A101" s="7" t="str">
        <f t="shared" ca="1" si="8"/>
        <v>83</v>
      </c>
      <c r="B101" s="7" t="str">
        <f ca="1">OFFSET(ORÇAMENTO!C$15,ROW(B101)-ROW(B$15),0)</f>
        <v>S</v>
      </c>
      <c r="C101" s="7" t="str">
        <f ca="1">OFFSET(ORÇAMENTO!L$15,ROW(C101)-ROW(C$15),0)</f>
        <v>F</v>
      </c>
      <c r="D101" s="118" t="str">
        <f ca="1">OFFSET(ORÇAMENTO!N$15,ROW(D101)-ROW(D$15),0)</f>
        <v>Serviço</v>
      </c>
      <c r="E101" s="119" t="str">
        <f ca="1">OFFSET(ORÇAMENTO!O$15,ROW(E101)-ROW(E$15),0)</f>
        <v>6.3.3.</v>
      </c>
      <c r="F101" s="172" t="str">
        <f ca="1">OFFSET(ORÇAMENTO!R$15,ROW(F101)-ROW(F$15),0)</f>
        <v>REGISTRO DE GAVETA BRUTO, LATÃO, ROSCÁVEL, 3/4", COM ACABAMENTO E CANOPLA CROMADOS - FORNECIMENTO E INSTALAÇÃO. AF_08/2021</v>
      </c>
      <c r="G101" s="173" t="str">
        <f ca="1">IF($D101&lt;&gt;"Serviço","",OFFSET(ORÇAMENTO!S$15,ROW(G101)-ROW(G$15),0))</f>
        <v>UN</v>
      </c>
      <c r="H101" s="124">
        <f ca="1">IF($D101&lt;&gt;"Serviço",0,IF(ACOMPANHAMENTO="BM",ROUND(OFFSET(ORÇAMENTO!AJ$15,ROW(H101)-ROW(H$15),0),15-13*ORÇAMENTO!$AF$7),SUMPRODUCT(($Q$12:$AA$12&lt;&gt;"")*ROUND($Q101:$AA101,15-13*ORÇAMENTO!$AF$7))))</f>
        <v>9</v>
      </c>
      <c r="I101" s="561"/>
      <c r="K101" s="174"/>
      <c r="L101" s="175" t="s">
        <v>255</v>
      </c>
      <c r="M101" s="176">
        <f ca="1">IF($D101&lt;&gt;"Serviço","",IF(AUTOEVENTO="manual",$A101,IF(ISERROR(MATCH($A101,$A$15:OFFSET($A101,-1,0),0)),MAX($M$15:OFFSET(M101,-1,0))+1,INDEX($M$15:OFFSET(M101,-1,0),MATCH($A101,$A$15:OFFSET($A101,-1,0),0)))))</f>
        <v>16</v>
      </c>
      <c r="N101" s="177" t="str">
        <f ca="1">IF($D101&lt;&gt;"Serviço","",IF(AUTOEVENTO="Manual",IF($A101=0,"&lt;-- defina o número do agrupador",OFFSET(EVENTOS!$D$14,$A101,0)),OFFSET($F$15,$A101,0)))</f>
        <v xml:space="preserve">INSTALAÇÕES HIDROSSANITÁRIAS </v>
      </c>
      <c r="O101" s="178"/>
      <c r="Q101" s="178"/>
      <c r="R101" s="179"/>
      <c r="S101" s="179"/>
      <c r="T101" s="179"/>
      <c r="U101" s="179"/>
      <c r="V101" s="179"/>
      <c r="W101" s="179"/>
      <c r="X101" s="179"/>
      <c r="Y101" s="179"/>
      <c r="Z101" s="180"/>
      <c r="AB101" s="544">
        <f ca="1">IF(AND($D101="Serviço",AB$12&lt;&gt;0,$H101&gt;0,OR(AUTOEVENTO&lt;&gt;"manual",$M101&lt;&gt;1)),
IF(Import.TipoArredondamento&lt;&gt;"TransfereGOV",
ROUND(OFFSET($P101,0,AB$13),15-13*ORÇAMENTO!$AF$7)/$H101*OFFSET(ORÇAMENTO!$X$15,ROW(AB101)-ROW(AB$15),0),
ROUND(ROUND(OFFSET($P101,0,AB$13),15-13*ORÇAMENTO!$AF$7)*OFFSET(ORÇAMENTO!$W$15,ROW(AB101)-ROW(AB$15),0),15-13*ORÇAMENTO!$AF$11)),0)</f>
        <v>0</v>
      </c>
      <c r="AC101" s="545">
        <f ca="1">IF(AND($D101="Serviço",AC$12&lt;&gt;0,$H101&gt;0,OR(AUTOEVENTO&lt;&gt;"manual",$M101&lt;&gt;1)),
IF(Import.TipoArredondamento&lt;&gt;"TransfereGOV",
ROUND(OFFSET($P101,0,AC$13),15-13*ORÇAMENTO!$AF$7)/$H101*OFFSET(ORÇAMENTO!$X$15,ROW(AC101)-ROW(AC$15),0),
ROUND(ROUND(OFFSET($P101,0,AC$13),15-13*ORÇAMENTO!$AF$7)*OFFSET(ORÇAMENTO!$W$15,ROW(AC101)-ROW(AC$15),0),15-13*ORÇAMENTO!$AF$11)),0)</f>
        <v>0</v>
      </c>
      <c r="AD101" s="545">
        <f ca="1">IF(AND($D101="Serviço",AD$12&lt;&gt;0,$H101&gt;0,OR(AUTOEVENTO&lt;&gt;"manual",$M101&lt;&gt;1)),
IF(Import.TipoArredondamento&lt;&gt;"TransfereGOV",
ROUND(OFFSET($P101,0,AD$13),15-13*ORÇAMENTO!$AF$7)/$H101*OFFSET(ORÇAMENTO!$X$15,ROW(AD101)-ROW(AD$15),0),
ROUND(ROUND(OFFSET($P101,0,AD$13),15-13*ORÇAMENTO!$AF$7)*OFFSET(ORÇAMENTO!$W$15,ROW(AD101)-ROW(AD$15),0),15-13*ORÇAMENTO!$AF$11)),0)</f>
        <v>0</v>
      </c>
      <c r="AE101" s="545">
        <f ca="1">IF(AND($D101="Serviço",AE$12&lt;&gt;0,$H101&gt;0,OR(AUTOEVENTO&lt;&gt;"manual",$M101&lt;&gt;1)),
IF(Import.TipoArredondamento&lt;&gt;"TransfereGOV",
ROUND(OFFSET($P101,0,AE$13),15-13*ORÇAMENTO!$AF$7)/$H101*OFFSET(ORÇAMENTO!$X$15,ROW(AE101)-ROW(AE$15),0),
ROUND(ROUND(OFFSET($P101,0,AE$13),15-13*ORÇAMENTO!$AF$7)*OFFSET(ORÇAMENTO!$W$15,ROW(AE101)-ROW(AE$15),0),15-13*ORÇAMENTO!$AF$11)),0)</f>
        <v>0</v>
      </c>
      <c r="AF101" s="545">
        <f ca="1">IF(AND($D101="Serviço",AF$12&lt;&gt;0,$H101&gt;0,OR(AUTOEVENTO&lt;&gt;"manual",$M101&lt;&gt;1)),
IF(Import.TipoArredondamento&lt;&gt;"TransfereGOV",
ROUND(OFFSET($P101,0,AF$13),15-13*ORÇAMENTO!$AF$7)/$H101*OFFSET(ORÇAMENTO!$X$15,ROW(AF101)-ROW(AF$15),0),
ROUND(ROUND(OFFSET($P101,0,AF$13),15-13*ORÇAMENTO!$AF$7)*OFFSET(ORÇAMENTO!$W$15,ROW(AF101)-ROW(AF$15),0),15-13*ORÇAMENTO!$AF$11)),0)</f>
        <v>0</v>
      </c>
      <c r="AG101" s="545">
        <f ca="1">IF(AND($D101="Serviço",AG$12&lt;&gt;0,$H101&gt;0,OR(AUTOEVENTO&lt;&gt;"manual",$M101&lt;&gt;1)),
IF(Import.TipoArredondamento&lt;&gt;"TransfereGOV",
ROUND(OFFSET($P101,0,AG$13),15-13*ORÇAMENTO!$AF$7)/$H101*OFFSET(ORÇAMENTO!$X$15,ROW(AG101)-ROW(AG$15),0),
ROUND(ROUND(OFFSET($P101,0,AG$13),15-13*ORÇAMENTO!$AF$7)*OFFSET(ORÇAMENTO!$W$15,ROW(AG101)-ROW(AG$15),0),15-13*ORÇAMENTO!$AF$11)),0)</f>
        <v>0</v>
      </c>
      <c r="AH101" s="545">
        <f ca="1">IF(AND($D101="Serviço",AH$12&lt;&gt;0,$H101&gt;0,OR(AUTOEVENTO&lt;&gt;"manual",$M101&lt;&gt;1)),
IF(Import.TipoArredondamento&lt;&gt;"TransfereGOV",
ROUND(OFFSET($P101,0,AH$13),15-13*ORÇAMENTO!$AF$7)/$H101*OFFSET(ORÇAMENTO!$X$15,ROW(AH101)-ROW(AH$15),0),
ROUND(ROUND(OFFSET($P101,0,AH$13),15-13*ORÇAMENTO!$AF$7)*OFFSET(ORÇAMENTO!$W$15,ROW(AH101)-ROW(AH$15),0),15-13*ORÇAMENTO!$AF$11)),0)</f>
        <v>0</v>
      </c>
      <c r="AI101" s="545">
        <f ca="1">IF(AND($D101="Serviço",AI$12&lt;&gt;0,$H101&gt;0,OR(AUTOEVENTO&lt;&gt;"manual",$M101&lt;&gt;1)),
IF(Import.TipoArredondamento&lt;&gt;"TransfereGOV",
ROUND(OFFSET($P101,0,AI$13),15-13*ORÇAMENTO!$AF$7)/$H101*OFFSET(ORÇAMENTO!$X$15,ROW(AI101)-ROW(AI$15),0),
ROUND(ROUND(OFFSET($P101,0,AI$13),15-13*ORÇAMENTO!$AF$7)*OFFSET(ORÇAMENTO!$W$15,ROW(AI101)-ROW(AI$15),0),15-13*ORÇAMENTO!$AF$11)),0)</f>
        <v>0</v>
      </c>
      <c r="AJ101" s="545">
        <f ca="1">IF(AND($D101="Serviço",AJ$12&lt;&gt;0,$H101&gt;0,OR(AUTOEVENTO&lt;&gt;"manual",$M101&lt;&gt;1)),
IF(Import.TipoArredondamento&lt;&gt;"TransfereGOV",
ROUND(OFFSET($P101,0,AJ$13),15-13*ORÇAMENTO!$AF$7)/$H101*OFFSET(ORÇAMENTO!$X$15,ROW(AJ101)-ROW(AJ$15),0),
ROUND(ROUND(OFFSET($P101,0,AJ$13),15-13*ORÇAMENTO!$AF$7)*OFFSET(ORÇAMENTO!$W$15,ROW(AJ101)-ROW(AJ$15),0),15-13*ORÇAMENTO!$AF$11)),0)</f>
        <v>0</v>
      </c>
      <c r="AK101" s="546">
        <f ca="1">IF(AND($D101="Serviço",AK$12&lt;&gt;0,$H101&gt;0,OR(AUTOEVENTO&lt;&gt;"manual",$M101&lt;&gt;1)),
IF(Import.TipoArredondamento&lt;&gt;"TransfereGOV",
ROUND(OFFSET($P101,0,AK$13),15-13*ORÇAMENTO!$AF$7)/$H101*OFFSET(ORÇAMENTO!$X$15,ROW(AK101)-ROW(AK$15),0),
ROUND(ROUND(OFFSET($P101,0,AK$13),15-13*ORÇAMENTO!$AF$7)*OFFSET(ORÇAMENTO!$W$15,ROW(AK101)-ROW(AK$15),0),15-13*ORÇAMENTO!$AF$11)),0)</f>
        <v>0</v>
      </c>
      <c r="AM101" s="181">
        <f ca="1">IF($D101&lt;&gt;"Serviço",0,IF(AND(AUTOEVENTO="Manual",$M101=1),0,IF(OFFSET(CRONOPLE!$F$14,$M101,AM$13)="",10^12,OFFSET(CRONOPLE!$F$14,$M101,AM$13))))</f>
        <v>1000000000000</v>
      </c>
      <c r="AN101" s="181">
        <f ca="1">IF($D101&lt;&gt;"Serviço",0,IF(AND(AUTOEVENTO="Manual",$M101=1),0,IF(OFFSET(CRONOPLE!$F$14,$M101,AN$13)="",10^12,OFFSET(CRONOPLE!$F$14,$M101,AN$13))))</f>
        <v>1000000000000</v>
      </c>
      <c r="AO101" s="181">
        <f ca="1">IF($D101&lt;&gt;"Serviço",0,IF(AND(AUTOEVENTO="Manual",$M101=1),0,IF(OFFSET(CRONOPLE!$F$14,$M101,AO$13)="",10^12,OFFSET(CRONOPLE!$F$14,$M101,AO$13))))</f>
        <v>1000000000000</v>
      </c>
      <c r="AP101" s="181">
        <f ca="1">IF($D101&lt;&gt;"Serviço",0,IF(AND(AUTOEVENTO="Manual",$M101=1),0,IF(OFFSET(CRONOPLE!$F$14,$M101,AP$13)="",10^12,OFFSET(CRONOPLE!$F$14,$M101,AP$13))))</f>
        <v>1000000000000</v>
      </c>
      <c r="AQ101" s="181">
        <f ca="1">IF($D101&lt;&gt;"Serviço",0,IF(AND(AUTOEVENTO="Manual",$M101=1),0,IF(OFFSET(CRONOPLE!$F$14,$M101,AQ$13)="",10^12,OFFSET(CRONOPLE!$F$14,$M101,AQ$13))))</f>
        <v>1000000000000</v>
      </c>
      <c r="AR101" s="181">
        <f ca="1">IF($D101&lt;&gt;"Serviço",0,IF(AND(AUTOEVENTO="Manual",$M101=1),0,IF(OFFSET(CRONOPLE!$F$14,$M101,AR$13)="",10^12,OFFSET(CRONOPLE!$F$14,$M101,AR$13))))</f>
        <v>1000000000000</v>
      </c>
      <c r="AS101" s="181">
        <f ca="1">IF($D101&lt;&gt;"Serviço",0,IF(AND(AUTOEVENTO="Manual",$M101=1),0,IF(OFFSET(CRONOPLE!$F$14,$M101,AS$13)="",10^12,OFFSET(CRONOPLE!$F$14,$M101,AS$13))))</f>
        <v>1000000000000</v>
      </c>
      <c r="AT101" s="181">
        <f ca="1">IF($D101&lt;&gt;"Serviço",0,IF(AND(AUTOEVENTO="Manual",$M101=1),0,IF(OFFSET(CRONOPLE!$F$14,$M101,AT$13)="",10^12,OFFSET(CRONOPLE!$F$14,$M101,AT$13))))</f>
        <v>1000000000000</v>
      </c>
      <c r="AU101" s="181">
        <f ca="1">IF($D101&lt;&gt;"Serviço",0,IF(AND(AUTOEVENTO="Manual",$M101=1),0,IF(OFFSET(CRONOPLE!$F$14,$M101,AU$13)="",10^12,OFFSET(CRONOPLE!$F$14,$M101,AU$13))))</f>
        <v>1000000000000</v>
      </c>
      <c r="AV101" s="181">
        <f ca="1">IF($D101&lt;&gt;"Serviço",0,IF(AND(AUTOEVENTO="Manual",$M101=1),0,IF(OFFSET(CRONOPLE!$F$14,$M101,AV$13)="",10^12,OFFSET(CRONOPLE!$F$14,$M101,AV$13))))</f>
        <v>1000000000000</v>
      </c>
      <c r="AX101" s="182">
        <f ca="1">IF($D101&lt;&gt;"Serviço",0,IF(OR(AND(AUTOEVENTO="Manual",$M101=1),$M101&gt;(ROW(PLE.lastrow)-ROW(PLE.firstrow))),0,IF(OFFSET(PLE!$G$14,$M101,AX$13)="",10^12,OFFSET(PLE!$G$14,$M101,AX$13))))</f>
        <v>1000000000000</v>
      </c>
      <c r="AY101" s="182">
        <f ca="1">IF($D101&lt;&gt;"Serviço",0,IF(OR(AND(AUTOEVENTO="Manual",$M101=1),$M101&gt;(ROW(PLE.lastrow)-ROW(PLE.firstrow))),0,IF(OFFSET(PLE!$G$14,$M101,AY$13)="",10^12,OFFSET(PLE!$G$14,$M101,AY$13))))</f>
        <v>1000000000000</v>
      </c>
      <c r="AZ101" s="182">
        <f ca="1">IF($D101&lt;&gt;"Serviço",0,IF(OR(AND(AUTOEVENTO="Manual",$M101=1),$M101&gt;(ROW(PLE.lastrow)-ROW(PLE.firstrow))),0,IF(OFFSET(PLE!$G$14,$M101,AZ$13)="",10^12,OFFSET(PLE!$G$14,$M101,AZ$13))))</f>
        <v>1000000000000</v>
      </c>
      <c r="BA101" s="182">
        <f ca="1">IF($D101&lt;&gt;"Serviço",0,IF(OR(AND(AUTOEVENTO="Manual",$M101=1),$M101&gt;(ROW(PLE.lastrow)-ROW(PLE.firstrow))),0,IF(OFFSET(PLE!$G$14,$M101,BA$13)="",10^12,OFFSET(PLE!$G$14,$M101,BA$13))))</f>
        <v>1000000000000</v>
      </c>
      <c r="BB101" s="182">
        <f ca="1">IF($D101&lt;&gt;"Serviço",0,IF(OR(AND(AUTOEVENTO="Manual",$M101=1),$M101&gt;(ROW(PLE.lastrow)-ROW(PLE.firstrow))),0,IF(OFFSET(PLE!$G$14,$M101,BB$13)="",10^12,OFFSET(PLE!$G$14,$M101,BB$13))))</f>
        <v>1000000000000</v>
      </c>
      <c r="BC101" s="182">
        <f ca="1">IF($D101&lt;&gt;"Serviço",0,IF(OR(AND(AUTOEVENTO="Manual",$M101=1),$M101&gt;(ROW(PLE.lastrow)-ROW(PLE.firstrow))),0,IF(OFFSET(PLE!$G$14,$M101,BC$13)="",10^12,OFFSET(PLE!$G$14,$M101,BC$13))))</f>
        <v>1000000000000</v>
      </c>
      <c r="BD101" s="182">
        <f ca="1">IF($D101&lt;&gt;"Serviço",0,IF(OR(AND(AUTOEVENTO="Manual",$M101=1),$M101&gt;(ROW(PLE.lastrow)-ROW(PLE.firstrow))),0,IF(OFFSET(PLE!$G$14,$M101,BD$13)="",10^12,OFFSET(PLE!$G$14,$M101,BD$13))))</f>
        <v>1000000000000</v>
      </c>
      <c r="BE101" s="182">
        <f ca="1">IF($D101&lt;&gt;"Serviço",0,IF(OR(AND(AUTOEVENTO="Manual",$M101=1),$M101&gt;(ROW(PLE.lastrow)-ROW(PLE.firstrow))),0,IF(OFFSET(PLE!$G$14,$M101,BE$13)="",10^12,OFFSET(PLE!$G$14,$M101,BE$13))))</f>
        <v>1000000000000</v>
      </c>
      <c r="BF101" s="182">
        <f ca="1">IF($D101&lt;&gt;"Serviço",0,IF(OR(AND(AUTOEVENTO="Manual",$M101=1),$M101&gt;(ROW(PLE.lastrow)-ROW(PLE.firstrow))),0,IF(OFFSET(PLE!$G$14,$M101,BF$13)="",10^12,OFFSET(PLE!$G$14,$M101,BF$13))))</f>
        <v>1000000000000</v>
      </c>
      <c r="BG101" s="182">
        <f ca="1">IF($D101&lt;&gt;"Serviço",0,IF(OR(AND(AUTOEVENTO="Manual",$M101=1),$M101&gt;(ROW(PLE.lastrow)-ROW(PLE.firstrow))),0,IF(OFFSET(PLE!$G$14,$M101,BG$13)="",10^12,OFFSET(PLE!$G$14,$M101,BG$13))))</f>
        <v>1000000000000</v>
      </c>
    </row>
    <row r="102" spans="1:59" ht="25.5" x14ac:dyDescent="0.2">
      <c r="A102" s="7" t="str">
        <f ca="1">IF(AUTOEVENTO="Manual",IF(K102&lt;&gt;"",MIN(VALUE(LEFT(K102,FIND(".",K102)-1)),COUNTA(EVENTOS.Lista)),0),IF(OR($B102&gt;AUTOEVENTO,$B102="S",$B102=0),SUBSTITUTE(OFFSET($A102,-1,0),IF($D102="Serviço",".",""),""),ROW(A102)-ROW($A$15)&amp;"."))</f>
        <v>83</v>
      </c>
      <c r="B102" s="7" t="str">
        <f ca="1">OFFSET(ORÇAMENTO!C$15,ROW(B102)-ROW(B$15),0)</f>
        <v>S</v>
      </c>
      <c r="C102" s="7" t="str">
        <f ca="1">OFFSET(ORÇAMENTO!L$15,ROW(C102)-ROW(C$15),0)</f>
        <v>F</v>
      </c>
      <c r="D102" s="118" t="str">
        <f ca="1">OFFSET(ORÇAMENTO!N$15,ROW(D102)-ROW(D$15),0)</f>
        <v>Serviço</v>
      </c>
      <c r="E102" s="119" t="str">
        <f ca="1">OFFSET(ORÇAMENTO!O$15,ROW(E102)-ROW(E$15),0)</f>
        <v>6.3.4.</v>
      </c>
      <c r="F102" s="172" t="str">
        <f ca="1">OFFSET(ORÇAMENTO!R$15,ROW(F102)-ROW(F$15),0)</f>
        <v>ACABAMENTO DE METAL CROMADO PARA REGISTRO PEQUENO, DE PAREDE, 1/2" OU 3/4"</v>
      </c>
      <c r="G102" s="173" t="str">
        <f ca="1">IF($D102&lt;&gt;"Serviço","",OFFSET(ORÇAMENTO!S$15,ROW(G102)-ROW(G$15),0))</f>
        <v>UN</v>
      </c>
      <c r="H102" s="124">
        <f ca="1">IF($D102&lt;&gt;"Serviço",0,IF(ACOMPANHAMENTO="BM",ROUND(OFFSET(ORÇAMENTO!AJ$15,ROW(H102)-ROW(H$15),0),15-13*ORÇAMENTO!$AF$7),SUMPRODUCT(($Q$12:$AA$12&lt;&gt;"")*ROUND($Q102:$AA102,15-13*ORÇAMENTO!$AF$7))))</f>
        <v>9</v>
      </c>
      <c r="I102" s="561"/>
      <c r="K102" s="174"/>
      <c r="L102" s="175" t="s">
        <v>255</v>
      </c>
      <c r="M102" s="176">
        <f ca="1">IF($D102&lt;&gt;"Serviço","",IF(AUTOEVENTO="manual",$A102,IF(ISERROR(MATCH($A102,$A$15:OFFSET($A102,-1,0),0)),MAX($M$15:OFFSET(M102,-1,0))+1,INDEX($M$15:OFFSET(M102,-1,0),MATCH($A102,$A$15:OFFSET($A102,-1,0),0)))))</f>
        <v>16</v>
      </c>
      <c r="N102" s="177" t="str">
        <f ca="1">IF($D102&lt;&gt;"Serviço","",IF(AUTOEVENTO="Manual",IF($A102=0,"&lt;-- defina o número do agrupador",OFFSET(EVENTOS!$D$14,$A102,0)),OFFSET($F$15,$A102,0)))</f>
        <v xml:space="preserve">INSTALAÇÕES HIDROSSANITÁRIAS </v>
      </c>
      <c r="O102" s="178"/>
      <c r="Q102" s="178"/>
      <c r="R102" s="179"/>
      <c r="S102" s="179"/>
      <c r="T102" s="179"/>
      <c r="U102" s="179"/>
      <c r="V102" s="179"/>
      <c r="W102" s="179"/>
      <c r="X102" s="179"/>
      <c r="Y102" s="179"/>
      <c r="Z102" s="180"/>
      <c r="AB102" s="544">
        <f ca="1">IF(AND($D102="Serviço",AB$12&lt;&gt;0,$H102&gt;0,OR(AUTOEVENTO&lt;&gt;"manual",$M102&lt;&gt;1)),
IF(Import.TipoArredondamento&lt;&gt;"TransfereGOV",
ROUND(OFFSET($P102,0,AB$13),15-13*ORÇAMENTO!$AF$7)/$H102*OFFSET(ORÇAMENTO!$X$15,ROW(AB102)-ROW(AB$15),0),
ROUND(ROUND(OFFSET($P102,0,AB$13),15-13*ORÇAMENTO!$AF$7)*OFFSET(ORÇAMENTO!$W$15,ROW(AB102)-ROW(AB$15),0),15-13*ORÇAMENTO!$AF$11)),0)</f>
        <v>0</v>
      </c>
      <c r="AC102" s="545">
        <f ca="1">IF(AND($D102="Serviço",AC$12&lt;&gt;0,$H102&gt;0,OR(AUTOEVENTO&lt;&gt;"manual",$M102&lt;&gt;1)),
IF(Import.TipoArredondamento&lt;&gt;"TransfereGOV",
ROUND(OFFSET($P102,0,AC$13),15-13*ORÇAMENTO!$AF$7)/$H102*OFFSET(ORÇAMENTO!$X$15,ROW(AC102)-ROW(AC$15),0),
ROUND(ROUND(OFFSET($P102,0,AC$13),15-13*ORÇAMENTO!$AF$7)*OFFSET(ORÇAMENTO!$W$15,ROW(AC102)-ROW(AC$15),0),15-13*ORÇAMENTO!$AF$11)),0)</f>
        <v>0</v>
      </c>
      <c r="AD102" s="545">
        <f ca="1">IF(AND($D102="Serviço",AD$12&lt;&gt;0,$H102&gt;0,OR(AUTOEVENTO&lt;&gt;"manual",$M102&lt;&gt;1)),
IF(Import.TipoArredondamento&lt;&gt;"TransfereGOV",
ROUND(OFFSET($P102,0,AD$13),15-13*ORÇAMENTO!$AF$7)/$H102*OFFSET(ORÇAMENTO!$X$15,ROW(AD102)-ROW(AD$15),0),
ROUND(ROUND(OFFSET($P102,0,AD$13),15-13*ORÇAMENTO!$AF$7)*OFFSET(ORÇAMENTO!$W$15,ROW(AD102)-ROW(AD$15),0),15-13*ORÇAMENTO!$AF$11)),0)</f>
        <v>0</v>
      </c>
      <c r="AE102" s="545">
        <f ca="1">IF(AND($D102="Serviço",AE$12&lt;&gt;0,$H102&gt;0,OR(AUTOEVENTO&lt;&gt;"manual",$M102&lt;&gt;1)),
IF(Import.TipoArredondamento&lt;&gt;"TransfereGOV",
ROUND(OFFSET($P102,0,AE$13),15-13*ORÇAMENTO!$AF$7)/$H102*OFFSET(ORÇAMENTO!$X$15,ROW(AE102)-ROW(AE$15),0),
ROUND(ROUND(OFFSET($P102,0,AE$13),15-13*ORÇAMENTO!$AF$7)*OFFSET(ORÇAMENTO!$W$15,ROW(AE102)-ROW(AE$15),0),15-13*ORÇAMENTO!$AF$11)),0)</f>
        <v>0</v>
      </c>
      <c r="AF102" s="545">
        <f ca="1">IF(AND($D102="Serviço",AF$12&lt;&gt;0,$H102&gt;0,OR(AUTOEVENTO&lt;&gt;"manual",$M102&lt;&gt;1)),
IF(Import.TipoArredondamento&lt;&gt;"TransfereGOV",
ROUND(OFFSET($P102,0,AF$13),15-13*ORÇAMENTO!$AF$7)/$H102*OFFSET(ORÇAMENTO!$X$15,ROW(AF102)-ROW(AF$15),0),
ROUND(ROUND(OFFSET($P102,0,AF$13),15-13*ORÇAMENTO!$AF$7)*OFFSET(ORÇAMENTO!$W$15,ROW(AF102)-ROW(AF$15),0),15-13*ORÇAMENTO!$AF$11)),0)</f>
        <v>0</v>
      </c>
      <c r="AG102" s="545">
        <f ca="1">IF(AND($D102="Serviço",AG$12&lt;&gt;0,$H102&gt;0,OR(AUTOEVENTO&lt;&gt;"manual",$M102&lt;&gt;1)),
IF(Import.TipoArredondamento&lt;&gt;"TransfereGOV",
ROUND(OFFSET($P102,0,AG$13),15-13*ORÇAMENTO!$AF$7)/$H102*OFFSET(ORÇAMENTO!$X$15,ROW(AG102)-ROW(AG$15),0),
ROUND(ROUND(OFFSET($P102,0,AG$13),15-13*ORÇAMENTO!$AF$7)*OFFSET(ORÇAMENTO!$W$15,ROW(AG102)-ROW(AG$15),0),15-13*ORÇAMENTO!$AF$11)),0)</f>
        <v>0</v>
      </c>
      <c r="AH102" s="545">
        <f ca="1">IF(AND($D102="Serviço",AH$12&lt;&gt;0,$H102&gt;0,OR(AUTOEVENTO&lt;&gt;"manual",$M102&lt;&gt;1)),
IF(Import.TipoArredondamento&lt;&gt;"TransfereGOV",
ROUND(OFFSET($P102,0,AH$13),15-13*ORÇAMENTO!$AF$7)/$H102*OFFSET(ORÇAMENTO!$X$15,ROW(AH102)-ROW(AH$15),0),
ROUND(ROUND(OFFSET($P102,0,AH$13),15-13*ORÇAMENTO!$AF$7)*OFFSET(ORÇAMENTO!$W$15,ROW(AH102)-ROW(AH$15),0),15-13*ORÇAMENTO!$AF$11)),0)</f>
        <v>0</v>
      </c>
      <c r="AI102" s="545">
        <f ca="1">IF(AND($D102="Serviço",AI$12&lt;&gt;0,$H102&gt;0,OR(AUTOEVENTO&lt;&gt;"manual",$M102&lt;&gt;1)),
IF(Import.TipoArredondamento&lt;&gt;"TransfereGOV",
ROUND(OFFSET($P102,0,AI$13),15-13*ORÇAMENTO!$AF$7)/$H102*OFFSET(ORÇAMENTO!$X$15,ROW(AI102)-ROW(AI$15),0),
ROUND(ROUND(OFFSET($P102,0,AI$13),15-13*ORÇAMENTO!$AF$7)*OFFSET(ORÇAMENTO!$W$15,ROW(AI102)-ROW(AI$15),0),15-13*ORÇAMENTO!$AF$11)),0)</f>
        <v>0</v>
      </c>
      <c r="AJ102" s="545">
        <f ca="1">IF(AND($D102="Serviço",AJ$12&lt;&gt;0,$H102&gt;0,OR(AUTOEVENTO&lt;&gt;"manual",$M102&lt;&gt;1)),
IF(Import.TipoArredondamento&lt;&gt;"TransfereGOV",
ROUND(OFFSET($P102,0,AJ$13),15-13*ORÇAMENTO!$AF$7)/$H102*OFFSET(ORÇAMENTO!$X$15,ROW(AJ102)-ROW(AJ$15),0),
ROUND(ROUND(OFFSET($P102,0,AJ$13),15-13*ORÇAMENTO!$AF$7)*OFFSET(ORÇAMENTO!$W$15,ROW(AJ102)-ROW(AJ$15),0),15-13*ORÇAMENTO!$AF$11)),0)</f>
        <v>0</v>
      </c>
      <c r="AK102" s="546">
        <f ca="1">IF(AND($D102="Serviço",AK$12&lt;&gt;0,$H102&gt;0,OR(AUTOEVENTO&lt;&gt;"manual",$M102&lt;&gt;1)),
IF(Import.TipoArredondamento&lt;&gt;"TransfereGOV",
ROUND(OFFSET($P102,0,AK$13),15-13*ORÇAMENTO!$AF$7)/$H102*OFFSET(ORÇAMENTO!$X$15,ROW(AK102)-ROW(AK$15),0),
ROUND(ROUND(OFFSET($P102,0,AK$13),15-13*ORÇAMENTO!$AF$7)*OFFSET(ORÇAMENTO!$W$15,ROW(AK102)-ROW(AK$15),0),15-13*ORÇAMENTO!$AF$11)),0)</f>
        <v>0</v>
      </c>
      <c r="AM102" s="181">
        <f ca="1">IF($D102&lt;&gt;"Serviço",0,IF(AND(AUTOEVENTO="Manual",$M102=1),0,IF(OFFSET(CRONOPLE!$F$14,$M102,AM$13)="",10^12,OFFSET(CRONOPLE!$F$14,$M102,AM$13))))</f>
        <v>1000000000000</v>
      </c>
      <c r="AN102" s="181">
        <f ca="1">IF($D102&lt;&gt;"Serviço",0,IF(AND(AUTOEVENTO="Manual",$M102=1),0,IF(OFFSET(CRONOPLE!$F$14,$M102,AN$13)="",10^12,OFFSET(CRONOPLE!$F$14,$M102,AN$13))))</f>
        <v>1000000000000</v>
      </c>
      <c r="AO102" s="181">
        <f ca="1">IF($D102&lt;&gt;"Serviço",0,IF(AND(AUTOEVENTO="Manual",$M102=1),0,IF(OFFSET(CRONOPLE!$F$14,$M102,AO$13)="",10^12,OFFSET(CRONOPLE!$F$14,$M102,AO$13))))</f>
        <v>1000000000000</v>
      </c>
      <c r="AP102" s="181">
        <f ca="1">IF($D102&lt;&gt;"Serviço",0,IF(AND(AUTOEVENTO="Manual",$M102=1),0,IF(OFFSET(CRONOPLE!$F$14,$M102,AP$13)="",10^12,OFFSET(CRONOPLE!$F$14,$M102,AP$13))))</f>
        <v>1000000000000</v>
      </c>
      <c r="AQ102" s="181">
        <f ca="1">IF($D102&lt;&gt;"Serviço",0,IF(AND(AUTOEVENTO="Manual",$M102=1),0,IF(OFFSET(CRONOPLE!$F$14,$M102,AQ$13)="",10^12,OFFSET(CRONOPLE!$F$14,$M102,AQ$13))))</f>
        <v>1000000000000</v>
      </c>
      <c r="AR102" s="181">
        <f ca="1">IF($D102&lt;&gt;"Serviço",0,IF(AND(AUTOEVENTO="Manual",$M102=1),0,IF(OFFSET(CRONOPLE!$F$14,$M102,AR$13)="",10^12,OFFSET(CRONOPLE!$F$14,$M102,AR$13))))</f>
        <v>1000000000000</v>
      </c>
      <c r="AS102" s="181">
        <f ca="1">IF($D102&lt;&gt;"Serviço",0,IF(AND(AUTOEVENTO="Manual",$M102=1),0,IF(OFFSET(CRONOPLE!$F$14,$M102,AS$13)="",10^12,OFFSET(CRONOPLE!$F$14,$M102,AS$13))))</f>
        <v>1000000000000</v>
      </c>
      <c r="AT102" s="181">
        <f ca="1">IF($D102&lt;&gt;"Serviço",0,IF(AND(AUTOEVENTO="Manual",$M102=1),0,IF(OFFSET(CRONOPLE!$F$14,$M102,AT$13)="",10^12,OFFSET(CRONOPLE!$F$14,$M102,AT$13))))</f>
        <v>1000000000000</v>
      </c>
      <c r="AU102" s="181">
        <f ca="1">IF($D102&lt;&gt;"Serviço",0,IF(AND(AUTOEVENTO="Manual",$M102=1),0,IF(OFFSET(CRONOPLE!$F$14,$M102,AU$13)="",10^12,OFFSET(CRONOPLE!$F$14,$M102,AU$13))))</f>
        <v>1000000000000</v>
      </c>
      <c r="AV102" s="181">
        <f ca="1">IF($D102&lt;&gt;"Serviço",0,IF(AND(AUTOEVENTO="Manual",$M102=1),0,IF(OFFSET(CRONOPLE!$F$14,$M102,AV$13)="",10^12,OFFSET(CRONOPLE!$F$14,$M102,AV$13))))</f>
        <v>1000000000000</v>
      </c>
      <c r="AX102" s="182">
        <f ca="1">IF($D102&lt;&gt;"Serviço",0,IF(OR(AND(AUTOEVENTO="Manual",$M102=1),$M102&gt;(ROW(PLE.lastrow)-ROW(PLE.firstrow))),0,IF(OFFSET(PLE!$G$14,$M102,AX$13)="",10^12,OFFSET(PLE!$G$14,$M102,AX$13))))</f>
        <v>1000000000000</v>
      </c>
      <c r="AY102" s="182">
        <f ca="1">IF($D102&lt;&gt;"Serviço",0,IF(OR(AND(AUTOEVENTO="Manual",$M102=1),$M102&gt;(ROW(PLE.lastrow)-ROW(PLE.firstrow))),0,IF(OFFSET(PLE!$G$14,$M102,AY$13)="",10^12,OFFSET(PLE!$G$14,$M102,AY$13))))</f>
        <v>1000000000000</v>
      </c>
      <c r="AZ102" s="182">
        <f ca="1">IF($D102&lt;&gt;"Serviço",0,IF(OR(AND(AUTOEVENTO="Manual",$M102=1),$M102&gt;(ROW(PLE.lastrow)-ROW(PLE.firstrow))),0,IF(OFFSET(PLE!$G$14,$M102,AZ$13)="",10^12,OFFSET(PLE!$G$14,$M102,AZ$13))))</f>
        <v>1000000000000</v>
      </c>
      <c r="BA102" s="182">
        <f ca="1">IF($D102&lt;&gt;"Serviço",0,IF(OR(AND(AUTOEVENTO="Manual",$M102=1),$M102&gt;(ROW(PLE.lastrow)-ROW(PLE.firstrow))),0,IF(OFFSET(PLE!$G$14,$M102,BA$13)="",10^12,OFFSET(PLE!$G$14,$M102,BA$13))))</f>
        <v>1000000000000</v>
      </c>
      <c r="BB102" s="182">
        <f ca="1">IF($D102&lt;&gt;"Serviço",0,IF(OR(AND(AUTOEVENTO="Manual",$M102=1),$M102&gt;(ROW(PLE.lastrow)-ROW(PLE.firstrow))),0,IF(OFFSET(PLE!$G$14,$M102,BB$13)="",10^12,OFFSET(PLE!$G$14,$M102,BB$13))))</f>
        <v>1000000000000</v>
      </c>
      <c r="BC102" s="182">
        <f ca="1">IF($D102&lt;&gt;"Serviço",0,IF(OR(AND(AUTOEVENTO="Manual",$M102=1),$M102&gt;(ROW(PLE.lastrow)-ROW(PLE.firstrow))),0,IF(OFFSET(PLE!$G$14,$M102,BC$13)="",10^12,OFFSET(PLE!$G$14,$M102,BC$13))))</f>
        <v>1000000000000</v>
      </c>
      <c r="BD102" s="182">
        <f ca="1">IF($D102&lt;&gt;"Serviço",0,IF(OR(AND(AUTOEVENTO="Manual",$M102=1),$M102&gt;(ROW(PLE.lastrow)-ROW(PLE.firstrow))),0,IF(OFFSET(PLE!$G$14,$M102,BD$13)="",10^12,OFFSET(PLE!$G$14,$M102,BD$13))))</f>
        <v>1000000000000</v>
      </c>
      <c r="BE102" s="182">
        <f ca="1">IF($D102&lt;&gt;"Serviço",0,IF(OR(AND(AUTOEVENTO="Manual",$M102=1),$M102&gt;(ROW(PLE.lastrow)-ROW(PLE.firstrow))),0,IF(OFFSET(PLE!$G$14,$M102,BE$13)="",10^12,OFFSET(PLE!$G$14,$M102,BE$13))))</f>
        <v>1000000000000</v>
      </c>
      <c r="BF102" s="182">
        <f ca="1">IF($D102&lt;&gt;"Serviço",0,IF(OR(AND(AUTOEVENTO="Manual",$M102=1),$M102&gt;(ROW(PLE.lastrow)-ROW(PLE.firstrow))),0,IF(OFFSET(PLE!$G$14,$M102,BF$13)="",10^12,OFFSET(PLE!$G$14,$M102,BF$13))))</f>
        <v>1000000000000</v>
      </c>
      <c r="BG102" s="182">
        <f ca="1">IF($D102&lt;&gt;"Serviço",0,IF(OR(AND(AUTOEVENTO="Manual",$M102=1),$M102&gt;(ROW(PLE.lastrow)-ROW(PLE.firstrow))),0,IF(OFFSET(PLE!$G$14,$M102,BG$13)="",10^12,OFFSET(PLE!$G$14,$M102,BG$13))))</f>
        <v>1000000000000</v>
      </c>
    </row>
    <row r="103" spans="1:59" ht="38.25" x14ac:dyDescent="0.2">
      <c r="A103" s="7" t="str">
        <f t="shared" ca="1" si="8"/>
        <v>83</v>
      </c>
      <c r="B103" s="7" t="str">
        <f ca="1">OFFSET(ORÇAMENTO!C$15,ROW(B103)-ROW(B$15),0)</f>
        <v>S</v>
      </c>
      <c r="C103" s="7" t="str">
        <f ca="1">OFFSET(ORÇAMENTO!L$15,ROW(C103)-ROW(C$15),0)</f>
        <v>F</v>
      </c>
      <c r="D103" s="118" t="str">
        <f ca="1">OFFSET(ORÇAMENTO!N$15,ROW(D103)-ROW(D$15),0)</f>
        <v>Serviço</v>
      </c>
      <c r="E103" s="119" t="str">
        <f ca="1">OFFSET(ORÇAMENTO!O$15,ROW(E103)-ROW(E$15),0)</f>
        <v>6.3.5.</v>
      </c>
      <c r="F103" s="172" t="str">
        <f ca="1">OFFSET(ORÇAMENTO!R$15,ROW(F103)-ROW(F$15),0)</f>
        <v>JOELHO 90 GRAUS, PVC, SOLDÁVEL, DN 25MM, INSTALADO EM RAMAL OU SUB-RAMAL DE ÁGUA - FORNECIMENTO E INSTALAÇÃO. AF_06/2022</v>
      </c>
      <c r="G103" s="173" t="str">
        <f ca="1">IF($D103&lt;&gt;"Serviço","",OFFSET(ORÇAMENTO!S$15,ROW(G103)-ROW(G$15),0))</f>
        <v>UN</v>
      </c>
      <c r="H103" s="124">
        <f ca="1">IF($D103&lt;&gt;"Serviço",0,IF(ACOMPANHAMENTO="BM",ROUND(OFFSET(ORÇAMENTO!AJ$15,ROW(H103)-ROW(H$15),0),15-13*ORÇAMENTO!$AF$7),SUMPRODUCT(($Q$12:$AA$12&lt;&gt;"")*ROUND($Q103:$AA103,15-13*ORÇAMENTO!$AF$7))))</f>
        <v>12</v>
      </c>
      <c r="I103" s="561"/>
      <c r="K103" s="174"/>
      <c r="L103" s="175" t="s">
        <v>255</v>
      </c>
      <c r="M103" s="176">
        <f ca="1">IF($D103&lt;&gt;"Serviço","",IF(AUTOEVENTO="manual",$A103,IF(ISERROR(MATCH($A103,$A$15:OFFSET($A103,-1,0),0)),MAX($M$15:OFFSET(M103,-1,0))+1,INDEX($M$15:OFFSET(M103,-1,0),MATCH($A103,$A$15:OFFSET($A103,-1,0),0)))))</f>
        <v>16</v>
      </c>
      <c r="N103" s="177" t="str">
        <f ca="1">IF($D103&lt;&gt;"Serviço","",IF(AUTOEVENTO="Manual",IF($A103=0,"&lt;-- defina o número do agrupador",OFFSET(EVENTOS!$D$14,$A103,0)),OFFSET($F$15,$A103,0)))</f>
        <v xml:space="preserve">INSTALAÇÕES HIDROSSANITÁRIAS </v>
      </c>
      <c r="O103" s="178"/>
      <c r="Q103" s="178"/>
      <c r="R103" s="179"/>
      <c r="S103" s="179"/>
      <c r="T103" s="179"/>
      <c r="U103" s="179"/>
      <c r="V103" s="179"/>
      <c r="W103" s="179"/>
      <c r="X103" s="179"/>
      <c r="Y103" s="179"/>
      <c r="Z103" s="180"/>
      <c r="AB103" s="544">
        <f ca="1">IF(AND($D103="Serviço",AB$12&lt;&gt;0,$H103&gt;0,OR(AUTOEVENTO&lt;&gt;"manual",$M103&lt;&gt;1)),
IF(Import.TipoArredondamento&lt;&gt;"TransfereGOV",
ROUND(OFFSET($P103,0,AB$13),15-13*ORÇAMENTO!$AF$7)/$H103*OFFSET(ORÇAMENTO!$X$15,ROW(AB103)-ROW(AB$15),0),
ROUND(ROUND(OFFSET($P103,0,AB$13),15-13*ORÇAMENTO!$AF$7)*OFFSET(ORÇAMENTO!$W$15,ROW(AB103)-ROW(AB$15),0),15-13*ORÇAMENTO!$AF$11)),0)</f>
        <v>0</v>
      </c>
      <c r="AC103" s="545">
        <f ca="1">IF(AND($D103="Serviço",AC$12&lt;&gt;0,$H103&gt;0,OR(AUTOEVENTO&lt;&gt;"manual",$M103&lt;&gt;1)),
IF(Import.TipoArredondamento&lt;&gt;"TransfereGOV",
ROUND(OFFSET($P103,0,AC$13),15-13*ORÇAMENTO!$AF$7)/$H103*OFFSET(ORÇAMENTO!$X$15,ROW(AC103)-ROW(AC$15),0),
ROUND(ROUND(OFFSET($P103,0,AC$13),15-13*ORÇAMENTO!$AF$7)*OFFSET(ORÇAMENTO!$W$15,ROW(AC103)-ROW(AC$15),0),15-13*ORÇAMENTO!$AF$11)),0)</f>
        <v>0</v>
      </c>
      <c r="AD103" s="545">
        <f ca="1">IF(AND($D103="Serviço",AD$12&lt;&gt;0,$H103&gt;0,OR(AUTOEVENTO&lt;&gt;"manual",$M103&lt;&gt;1)),
IF(Import.TipoArredondamento&lt;&gt;"TransfereGOV",
ROUND(OFFSET($P103,0,AD$13),15-13*ORÇAMENTO!$AF$7)/$H103*OFFSET(ORÇAMENTO!$X$15,ROW(AD103)-ROW(AD$15),0),
ROUND(ROUND(OFFSET($P103,0,AD$13),15-13*ORÇAMENTO!$AF$7)*OFFSET(ORÇAMENTO!$W$15,ROW(AD103)-ROW(AD$15),0),15-13*ORÇAMENTO!$AF$11)),0)</f>
        <v>0</v>
      </c>
      <c r="AE103" s="545">
        <f ca="1">IF(AND($D103="Serviço",AE$12&lt;&gt;0,$H103&gt;0,OR(AUTOEVENTO&lt;&gt;"manual",$M103&lt;&gt;1)),
IF(Import.TipoArredondamento&lt;&gt;"TransfereGOV",
ROUND(OFFSET($P103,0,AE$13),15-13*ORÇAMENTO!$AF$7)/$H103*OFFSET(ORÇAMENTO!$X$15,ROW(AE103)-ROW(AE$15),0),
ROUND(ROUND(OFFSET($P103,0,AE$13),15-13*ORÇAMENTO!$AF$7)*OFFSET(ORÇAMENTO!$W$15,ROW(AE103)-ROW(AE$15),0),15-13*ORÇAMENTO!$AF$11)),0)</f>
        <v>0</v>
      </c>
      <c r="AF103" s="545">
        <f ca="1">IF(AND($D103="Serviço",AF$12&lt;&gt;0,$H103&gt;0,OR(AUTOEVENTO&lt;&gt;"manual",$M103&lt;&gt;1)),
IF(Import.TipoArredondamento&lt;&gt;"TransfereGOV",
ROUND(OFFSET($P103,0,AF$13),15-13*ORÇAMENTO!$AF$7)/$H103*OFFSET(ORÇAMENTO!$X$15,ROW(AF103)-ROW(AF$15),0),
ROUND(ROUND(OFFSET($P103,0,AF$13),15-13*ORÇAMENTO!$AF$7)*OFFSET(ORÇAMENTO!$W$15,ROW(AF103)-ROW(AF$15),0),15-13*ORÇAMENTO!$AF$11)),0)</f>
        <v>0</v>
      </c>
      <c r="AG103" s="545">
        <f ca="1">IF(AND($D103="Serviço",AG$12&lt;&gt;0,$H103&gt;0,OR(AUTOEVENTO&lt;&gt;"manual",$M103&lt;&gt;1)),
IF(Import.TipoArredondamento&lt;&gt;"TransfereGOV",
ROUND(OFFSET($P103,0,AG$13),15-13*ORÇAMENTO!$AF$7)/$H103*OFFSET(ORÇAMENTO!$X$15,ROW(AG103)-ROW(AG$15),0),
ROUND(ROUND(OFFSET($P103,0,AG$13),15-13*ORÇAMENTO!$AF$7)*OFFSET(ORÇAMENTO!$W$15,ROW(AG103)-ROW(AG$15),0),15-13*ORÇAMENTO!$AF$11)),0)</f>
        <v>0</v>
      </c>
      <c r="AH103" s="545">
        <f ca="1">IF(AND($D103="Serviço",AH$12&lt;&gt;0,$H103&gt;0,OR(AUTOEVENTO&lt;&gt;"manual",$M103&lt;&gt;1)),
IF(Import.TipoArredondamento&lt;&gt;"TransfereGOV",
ROUND(OFFSET($P103,0,AH$13),15-13*ORÇAMENTO!$AF$7)/$H103*OFFSET(ORÇAMENTO!$X$15,ROW(AH103)-ROW(AH$15),0),
ROUND(ROUND(OFFSET($P103,0,AH$13),15-13*ORÇAMENTO!$AF$7)*OFFSET(ORÇAMENTO!$W$15,ROW(AH103)-ROW(AH$15),0),15-13*ORÇAMENTO!$AF$11)),0)</f>
        <v>0</v>
      </c>
      <c r="AI103" s="545">
        <f ca="1">IF(AND($D103="Serviço",AI$12&lt;&gt;0,$H103&gt;0,OR(AUTOEVENTO&lt;&gt;"manual",$M103&lt;&gt;1)),
IF(Import.TipoArredondamento&lt;&gt;"TransfereGOV",
ROUND(OFFSET($P103,0,AI$13),15-13*ORÇAMENTO!$AF$7)/$H103*OFFSET(ORÇAMENTO!$X$15,ROW(AI103)-ROW(AI$15),0),
ROUND(ROUND(OFFSET($P103,0,AI$13),15-13*ORÇAMENTO!$AF$7)*OFFSET(ORÇAMENTO!$W$15,ROW(AI103)-ROW(AI$15),0),15-13*ORÇAMENTO!$AF$11)),0)</f>
        <v>0</v>
      </c>
      <c r="AJ103" s="545">
        <f ca="1">IF(AND($D103="Serviço",AJ$12&lt;&gt;0,$H103&gt;0,OR(AUTOEVENTO&lt;&gt;"manual",$M103&lt;&gt;1)),
IF(Import.TipoArredondamento&lt;&gt;"TransfereGOV",
ROUND(OFFSET($P103,0,AJ$13),15-13*ORÇAMENTO!$AF$7)/$H103*OFFSET(ORÇAMENTO!$X$15,ROW(AJ103)-ROW(AJ$15),0),
ROUND(ROUND(OFFSET($P103,0,AJ$13),15-13*ORÇAMENTO!$AF$7)*OFFSET(ORÇAMENTO!$W$15,ROW(AJ103)-ROW(AJ$15),0),15-13*ORÇAMENTO!$AF$11)),0)</f>
        <v>0</v>
      </c>
      <c r="AK103" s="546">
        <f ca="1">IF(AND($D103="Serviço",AK$12&lt;&gt;0,$H103&gt;0,OR(AUTOEVENTO&lt;&gt;"manual",$M103&lt;&gt;1)),
IF(Import.TipoArredondamento&lt;&gt;"TransfereGOV",
ROUND(OFFSET($P103,0,AK$13),15-13*ORÇAMENTO!$AF$7)/$H103*OFFSET(ORÇAMENTO!$X$15,ROW(AK103)-ROW(AK$15),0),
ROUND(ROUND(OFFSET($P103,0,AK$13),15-13*ORÇAMENTO!$AF$7)*OFFSET(ORÇAMENTO!$W$15,ROW(AK103)-ROW(AK$15),0),15-13*ORÇAMENTO!$AF$11)),0)</f>
        <v>0</v>
      </c>
      <c r="AM103" s="181">
        <f ca="1">IF($D103&lt;&gt;"Serviço",0,IF(AND(AUTOEVENTO="Manual",$M103=1),0,IF(OFFSET(CRONOPLE!$F$14,$M103,AM$13)="",10^12,OFFSET(CRONOPLE!$F$14,$M103,AM$13))))</f>
        <v>1000000000000</v>
      </c>
      <c r="AN103" s="181">
        <f ca="1">IF($D103&lt;&gt;"Serviço",0,IF(AND(AUTOEVENTO="Manual",$M103=1),0,IF(OFFSET(CRONOPLE!$F$14,$M103,AN$13)="",10^12,OFFSET(CRONOPLE!$F$14,$M103,AN$13))))</f>
        <v>1000000000000</v>
      </c>
      <c r="AO103" s="181">
        <f ca="1">IF($D103&lt;&gt;"Serviço",0,IF(AND(AUTOEVENTO="Manual",$M103=1),0,IF(OFFSET(CRONOPLE!$F$14,$M103,AO$13)="",10^12,OFFSET(CRONOPLE!$F$14,$M103,AO$13))))</f>
        <v>1000000000000</v>
      </c>
      <c r="AP103" s="181">
        <f ca="1">IF($D103&lt;&gt;"Serviço",0,IF(AND(AUTOEVENTO="Manual",$M103=1),0,IF(OFFSET(CRONOPLE!$F$14,$M103,AP$13)="",10^12,OFFSET(CRONOPLE!$F$14,$M103,AP$13))))</f>
        <v>1000000000000</v>
      </c>
      <c r="AQ103" s="181">
        <f ca="1">IF($D103&lt;&gt;"Serviço",0,IF(AND(AUTOEVENTO="Manual",$M103=1),0,IF(OFFSET(CRONOPLE!$F$14,$M103,AQ$13)="",10^12,OFFSET(CRONOPLE!$F$14,$M103,AQ$13))))</f>
        <v>1000000000000</v>
      </c>
      <c r="AR103" s="181">
        <f ca="1">IF($D103&lt;&gt;"Serviço",0,IF(AND(AUTOEVENTO="Manual",$M103=1),0,IF(OFFSET(CRONOPLE!$F$14,$M103,AR$13)="",10^12,OFFSET(CRONOPLE!$F$14,$M103,AR$13))))</f>
        <v>1000000000000</v>
      </c>
      <c r="AS103" s="181">
        <f ca="1">IF($D103&lt;&gt;"Serviço",0,IF(AND(AUTOEVENTO="Manual",$M103=1),0,IF(OFFSET(CRONOPLE!$F$14,$M103,AS$13)="",10^12,OFFSET(CRONOPLE!$F$14,$M103,AS$13))))</f>
        <v>1000000000000</v>
      </c>
      <c r="AT103" s="181">
        <f ca="1">IF($D103&lt;&gt;"Serviço",0,IF(AND(AUTOEVENTO="Manual",$M103=1),0,IF(OFFSET(CRONOPLE!$F$14,$M103,AT$13)="",10^12,OFFSET(CRONOPLE!$F$14,$M103,AT$13))))</f>
        <v>1000000000000</v>
      </c>
      <c r="AU103" s="181">
        <f ca="1">IF($D103&lt;&gt;"Serviço",0,IF(AND(AUTOEVENTO="Manual",$M103=1),0,IF(OFFSET(CRONOPLE!$F$14,$M103,AU$13)="",10^12,OFFSET(CRONOPLE!$F$14,$M103,AU$13))))</f>
        <v>1000000000000</v>
      </c>
      <c r="AV103" s="181">
        <f ca="1">IF($D103&lt;&gt;"Serviço",0,IF(AND(AUTOEVENTO="Manual",$M103=1),0,IF(OFFSET(CRONOPLE!$F$14,$M103,AV$13)="",10^12,OFFSET(CRONOPLE!$F$14,$M103,AV$13))))</f>
        <v>1000000000000</v>
      </c>
      <c r="AX103" s="182">
        <f ca="1">IF($D103&lt;&gt;"Serviço",0,IF(OR(AND(AUTOEVENTO="Manual",$M103=1),$M103&gt;(ROW(PLE.lastrow)-ROW(PLE.firstrow))),0,IF(OFFSET(PLE!$G$14,$M103,AX$13)="",10^12,OFFSET(PLE!$G$14,$M103,AX$13))))</f>
        <v>1000000000000</v>
      </c>
      <c r="AY103" s="182">
        <f ca="1">IF($D103&lt;&gt;"Serviço",0,IF(OR(AND(AUTOEVENTO="Manual",$M103=1),$M103&gt;(ROW(PLE.lastrow)-ROW(PLE.firstrow))),0,IF(OFFSET(PLE!$G$14,$M103,AY$13)="",10^12,OFFSET(PLE!$G$14,$M103,AY$13))))</f>
        <v>1000000000000</v>
      </c>
      <c r="AZ103" s="182">
        <f ca="1">IF($D103&lt;&gt;"Serviço",0,IF(OR(AND(AUTOEVENTO="Manual",$M103=1),$M103&gt;(ROW(PLE.lastrow)-ROW(PLE.firstrow))),0,IF(OFFSET(PLE!$G$14,$M103,AZ$13)="",10^12,OFFSET(PLE!$G$14,$M103,AZ$13))))</f>
        <v>1000000000000</v>
      </c>
      <c r="BA103" s="182">
        <f ca="1">IF($D103&lt;&gt;"Serviço",0,IF(OR(AND(AUTOEVENTO="Manual",$M103=1),$M103&gt;(ROW(PLE.lastrow)-ROW(PLE.firstrow))),0,IF(OFFSET(PLE!$G$14,$M103,BA$13)="",10^12,OFFSET(PLE!$G$14,$M103,BA$13))))</f>
        <v>1000000000000</v>
      </c>
      <c r="BB103" s="182">
        <f ca="1">IF($D103&lt;&gt;"Serviço",0,IF(OR(AND(AUTOEVENTO="Manual",$M103=1),$M103&gt;(ROW(PLE.lastrow)-ROW(PLE.firstrow))),0,IF(OFFSET(PLE!$G$14,$M103,BB$13)="",10^12,OFFSET(PLE!$G$14,$M103,BB$13))))</f>
        <v>1000000000000</v>
      </c>
      <c r="BC103" s="182">
        <f ca="1">IF($D103&lt;&gt;"Serviço",0,IF(OR(AND(AUTOEVENTO="Manual",$M103=1),$M103&gt;(ROW(PLE.lastrow)-ROW(PLE.firstrow))),0,IF(OFFSET(PLE!$G$14,$M103,BC$13)="",10^12,OFFSET(PLE!$G$14,$M103,BC$13))))</f>
        <v>1000000000000</v>
      </c>
      <c r="BD103" s="182">
        <f ca="1">IF($D103&lt;&gt;"Serviço",0,IF(OR(AND(AUTOEVENTO="Manual",$M103=1),$M103&gt;(ROW(PLE.lastrow)-ROW(PLE.firstrow))),0,IF(OFFSET(PLE!$G$14,$M103,BD$13)="",10^12,OFFSET(PLE!$G$14,$M103,BD$13))))</f>
        <v>1000000000000</v>
      </c>
      <c r="BE103" s="182">
        <f ca="1">IF($D103&lt;&gt;"Serviço",0,IF(OR(AND(AUTOEVENTO="Manual",$M103=1),$M103&gt;(ROW(PLE.lastrow)-ROW(PLE.firstrow))),0,IF(OFFSET(PLE!$G$14,$M103,BE$13)="",10^12,OFFSET(PLE!$G$14,$M103,BE$13))))</f>
        <v>1000000000000</v>
      </c>
      <c r="BF103" s="182">
        <f ca="1">IF($D103&lt;&gt;"Serviço",0,IF(OR(AND(AUTOEVENTO="Manual",$M103=1),$M103&gt;(ROW(PLE.lastrow)-ROW(PLE.firstrow))),0,IF(OFFSET(PLE!$G$14,$M103,BF$13)="",10^12,OFFSET(PLE!$G$14,$M103,BF$13))))</f>
        <v>1000000000000</v>
      </c>
      <c r="BG103" s="182">
        <f ca="1">IF($D103&lt;&gt;"Serviço",0,IF(OR(AND(AUTOEVENTO="Manual",$M103=1),$M103&gt;(ROW(PLE.lastrow)-ROW(PLE.firstrow))),0,IF(OFFSET(PLE!$G$14,$M103,BG$13)="",10^12,OFFSET(PLE!$G$14,$M103,BG$13))))</f>
        <v>1000000000000</v>
      </c>
    </row>
    <row r="104" spans="1:59" ht="38.25" x14ac:dyDescent="0.2">
      <c r="A104" s="7" t="str">
        <f t="shared" ca="1" si="8"/>
        <v>83</v>
      </c>
      <c r="B104" s="7" t="str">
        <f ca="1">OFFSET(ORÇAMENTO!C$15,ROW(B104)-ROW(B$15),0)</f>
        <v>S</v>
      </c>
      <c r="C104" s="7" t="str">
        <f ca="1">OFFSET(ORÇAMENTO!L$15,ROW(C104)-ROW(C$15),0)</f>
        <v>F</v>
      </c>
      <c r="D104" s="118" t="str">
        <f ca="1">OFFSET(ORÇAMENTO!N$15,ROW(D104)-ROW(D$15),0)</f>
        <v>Serviço</v>
      </c>
      <c r="E104" s="119" t="str">
        <f ca="1">OFFSET(ORÇAMENTO!O$15,ROW(E104)-ROW(E$15),0)</f>
        <v>6.3.6.</v>
      </c>
      <c r="F104" s="172" t="str">
        <f ca="1">OFFSET(ORÇAMENTO!R$15,ROW(F104)-ROW(F$15),0)</f>
        <v>TE, PVC, SOLDÁVEL, DN 25MM, INSTALADO EM RAMAL DE DISTRIBUIÇÃO DE ÁGUA - FORNECIMENTO E INSTALAÇÃO. AF_06/2022</v>
      </c>
      <c r="G104" s="173" t="str">
        <f ca="1">IF($D104&lt;&gt;"Serviço","",OFFSET(ORÇAMENTO!S$15,ROW(G104)-ROW(G$15),0))</f>
        <v>UN</v>
      </c>
      <c r="H104" s="124">
        <f ca="1">IF($D104&lt;&gt;"Serviço",0,IF(ACOMPANHAMENTO="BM",ROUND(OFFSET(ORÇAMENTO!AJ$15,ROW(H104)-ROW(H$15),0),15-13*ORÇAMENTO!$AF$7),SUMPRODUCT(($Q$12:$AA$12&lt;&gt;"")*ROUND($Q104:$AA104,15-13*ORÇAMENTO!$AF$7))))</f>
        <v>18</v>
      </c>
      <c r="I104" s="561"/>
      <c r="K104" s="174"/>
      <c r="L104" s="175" t="s">
        <v>255</v>
      </c>
      <c r="M104" s="176">
        <f ca="1">IF($D104&lt;&gt;"Serviço","",IF(AUTOEVENTO="manual",$A104,IF(ISERROR(MATCH($A104,$A$15:OFFSET($A104,-1,0),0)),MAX($M$15:OFFSET(M104,-1,0))+1,INDEX($M$15:OFFSET(M104,-1,0),MATCH($A104,$A$15:OFFSET($A104,-1,0),0)))))</f>
        <v>16</v>
      </c>
      <c r="N104" s="177" t="str">
        <f ca="1">IF($D104&lt;&gt;"Serviço","",IF(AUTOEVENTO="Manual",IF($A104=0,"&lt;-- defina o número do agrupador",OFFSET(EVENTOS!$D$14,$A104,0)),OFFSET($F$15,$A104,0)))</f>
        <v xml:space="preserve">INSTALAÇÕES HIDROSSANITÁRIAS </v>
      </c>
      <c r="O104" s="178"/>
      <c r="Q104" s="178"/>
      <c r="R104" s="179"/>
      <c r="S104" s="179"/>
      <c r="T104" s="179"/>
      <c r="U104" s="179"/>
      <c r="V104" s="179"/>
      <c r="W104" s="179"/>
      <c r="X104" s="179"/>
      <c r="Y104" s="179"/>
      <c r="Z104" s="180"/>
      <c r="AB104" s="544">
        <f ca="1">IF(AND($D104="Serviço",AB$12&lt;&gt;0,$H104&gt;0,OR(AUTOEVENTO&lt;&gt;"manual",$M104&lt;&gt;1)),
IF(Import.TipoArredondamento&lt;&gt;"TransfereGOV",
ROUND(OFFSET($P104,0,AB$13),15-13*ORÇAMENTO!$AF$7)/$H104*OFFSET(ORÇAMENTO!$X$15,ROW(AB104)-ROW(AB$15),0),
ROUND(ROUND(OFFSET($P104,0,AB$13),15-13*ORÇAMENTO!$AF$7)*OFFSET(ORÇAMENTO!$W$15,ROW(AB104)-ROW(AB$15),0),15-13*ORÇAMENTO!$AF$11)),0)</f>
        <v>0</v>
      </c>
      <c r="AC104" s="545">
        <f ca="1">IF(AND($D104="Serviço",AC$12&lt;&gt;0,$H104&gt;0,OR(AUTOEVENTO&lt;&gt;"manual",$M104&lt;&gt;1)),
IF(Import.TipoArredondamento&lt;&gt;"TransfereGOV",
ROUND(OFFSET($P104,0,AC$13),15-13*ORÇAMENTO!$AF$7)/$H104*OFFSET(ORÇAMENTO!$X$15,ROW(AC104)-ROW(AC$15),0),
ROUND(ROUND(OFFSET($P104,0,AC$13),15-13*ORÇAMENTO!$AF$7)*OFFSET(ORÇAMENTO!$W$15,ROW(AC104)-ROW(AC$15),0),15-13*ORÇAMENTO!$AF$11)),0)</f>
        <v>0</v>
      </c>
      <c r="AD104" s="545">
        <f ca="1">IF(AND($D104="Serviço",AD$12&lt;&gt;0,$H104&gt;0,OR(AUTOEVENTO&lt;&gt;"manual",$M104&lt;&gt;1)),
IF(Import.TipoArredondamento&lt;&gt;"TransfereGOV",
ROUND(OFFSET($P104,0,AD$13),15-13*ORÇAMENTO!$AF$7)/$H104*OFFSET(ORÇAMENTO!$X$15,ROW(AD104)-ROW(AD$15),0),
ROUND(ROUND(OFFSET($P104,0,AD$13),15-13*ORÇAMENTO!$AF$7)*OFFSET(ORÇAMENTO!$W$15,ROW(AD104)-ROW(AD$15),0),15-13*ORÇAMENTO!$AF$11)),0)</f>
        <v>0</v>
      </c>
      <c r="AE104" s="545">
        <f ca="1">IF(AND($D104="Serviço",AE$12&lt;&gt;0,$H104&gt;0,OR(AUTOEVENTO&lt;&gt;"manual",$M104&lt;&gt;1)),
IF(Import.TipoArredondamento&lt;&gt;"TransfereGOV",
ROUND(OFFSET($P104,0,AE$13),15-13*ORÇAMENTO!$AF$7)/$H104*OFFSET(ORÇAMENTO!$X$15,ROW(AE104)-ROW(AE$15),0),
ROUND(ROUND(OFFSET($P104,0,AE$13),15-13*ORÇAMENTO!$AF$7)*OFFSET(ORÇAMENTO!$W$15,ROW(AE104)-ROW(AE$15),0),15-13*ORÇAMENTO!$AF$11)),0)</f>
        <v>0</v>
      </c>
      <c r="AF104" s="545">
        <f ca="1">IF(AND($D104="Serviço",AF$12&lt;&gt;0,$H104&gt;0,OR(AUTOEVENTO&lt;&gt;"manual",$M104&lt;&gt;1)),
IF(Import.TipoArredondamento&lt;&gt;"TransfereGOV",
ROUND(OFFSET($P104,0,AF$13),15-13*ORÇAMENTO!$AF$7)/$H104*OFFSET(ORÇAMENTO!$X$15,ROW(AF104)-ROW(AF$15),0),
ROUND(ROUND(OFFSET($P104,0,AF$13),15-13*ORÇAMENTO!$AF$7)*OFFSET(ORÇAMENTO!$W$15,ROW(AF104)-ROW(AF$15),0),15-13*ORÇAMENTO!$AF$11)),0)</f>
        <v>0</v>
      </c>
      <c r="AG104" s="545">
        <f ca="1">IF(AND($D104="Serviço",AG$12&lt;&gt;0,$H104&gt;0,OR(AUTOEVENTO&lt;&gt;"manual",$M104&lt;&gt;1)),
IF(Import.TipoArredondamento&lt;&gt;"TransfereGOV",
ROUND(OFFSET($P104,0,AG$13),15-13*ORÇAMENTO!$AF$7)/$H104*OFFSET(ORÇAMENTO!$X$15,ROW(AG104)-ROW(AG$15),0),
ROUND(ROUND(OFFSET($P104,0,AG$13),15-13*ORÇAMENTO!$AF$7)*OFFSET(ORÇAMENTO!$W$15,ROW(AG104)-ROW(AG$15),0),15-13*ORÇAMENTO!$AF$11)),0)</f>
        <v>0</v>
      </c>
      <c r="AH104" s="545">
        <f ca="1">IF(AND($D104="Serviço",AH$12&lt;&gt;0,$H104&gt;0,OR(AUTOEVENTO&lt;&gt;"manual",$M104&lt;&gt;1)),
IF(Import.TipoArredondamento&lt;&gt;"TransfereGOV",
ROUND(OFFSET($P104,0,AH$13),15-13*ORÇAMENTO!$AF$7)/$H104*OFFSET(ORÇAMENTO!$X$15,ROW(AH104)-ROW(AH$15),0),
ROUND(ROUND(OFFSET($P104,0,AH$13),15-13*ORÇAMENTO!$AF$7)*OFFSET(ORÇAMENTO!$W$15,ROW(AH104)-ROW(AH$15),0),15-13*ORÇAMENTO!$AF$11)),0)</f>
        <v>0</v>
      </c>
      <c r="AI104" s="545">
        <f ca="1">IF(AND($D104="Serviço",AI$12&lt;&gt;0,$H104&gt;0,OR(AUTOEVENTO&lt;&gt;"manual",$M104&lt;&gt;1)),
IF(Import.TipoArredondamento&lt;&gt;"TransfereGOV",
ROUND(OFFSET($P104,0,AI$13),15-13*ORÇAMENTO!$AF$7)/$H104*OFFSET(ORÇAMENTO!$X$15,ROW(AI104)-ROW(AI$15),0),
ROUND(ROUND(OFFSET($P104,0,AI$13),15-13*ORÇAMENTO!$AF$7)*OFFSET(ORÇAMENTO!$W$15,ROW(AI104)-ROW(AI$15),0),15-13*ORÇAMENTO!$AF$11)),0)</f>
        <v>0</v>
      </c>
      <c r="AJ104" s="545">
        <f ca="1">IF(AND($D104="Serviço",AJ$12&lt;&gt;0,$H104&gt;0,OR(AUTOEVENTO&lt;&gt;"manual",$M104&lt;&gt;1)),
IF(Import.TipoArredondamento&lt;&gt;"TransfereGOV",
ROUND(OFFSET($P104,0,AJ$13),15-13*ORÇAMENTO!$AF$7)/$H104*OFFSET(ORÇAMENTO!$X$15,ROW(AJ104)-ROW(AJ$15),0),
ROUND(ROUND(OFFSET($P104,0,AJ$13),15-13*ORÇAMENTO!$AF$7)*OFFSET(ORÇAMENTO!$W$15,ROW(AJ104)-ROW(AJ$15),0),15-13*ORÇAMENTO!$AF$11)),0)</f>
        <v>0</v>
      </c>
      <c r="AK104" s="546">
        <f ca="1">IF(AND($D104="Serviço",AK$12&lt;&gt;0,$H104&gt;0,OR(AUTOEVENTO&lt;&gt;"manual",$M104&lt;&gt;1)),
IF(Import.TipoArredondamento&lt;&gt;"TransfereGOV",
ROUND(OFFSET($P104,0,AK$13),15-13*ORÇAMENTO!$AF$7)/$H104*OFFSET(ORÇAMENTO!$X$15,ROW(AK104)-ROW(AK$15),0),
ROUND(ROUND(OFFSET($P104,0,AK$13),15-13*ORÇAMENTO!$AF$7)*OFFSET(ORÇAMENTO!$W$15,ROW(AK104)-ROW(AK$15),0),15-13*ORÇAMENTO!$AF$11)),0)</f>
        <v>0</v>
      </c>
      <c r="AM104" s="181">
        <f ca="1">IF($D104&lt;&gt;"Serviço",0,IF(AND(AUTOEVENTO="Manual",$M104=1),0,IF(OFFSET(CRONOPLE!$F$14,$M104,AM$13)="",10^12,OFFSET(CRONOPLE!$F$14,$M104,AM$13))))</f>
        <v>1000000000000</v>
      </c>
      <c r="AN104" s="181">
        <f ca="1">IF($D104&lt;&gt;"Serviço",0,IF(AND(AUTOEVENTO="Manual",$M104=1),0,IF(OFFSET(CRONOPLE!$F$14,$M104,AN$13)="",10^12,OFFSET(CRONOPLE!$F$14,$M104,AN$13))))</f>
        <v>1000000000000</v>
      </c>
      <c r="AO104" s="181">
        <f ca="1">IF($D104&lt;&gt;"Serviço",0,IF(AND(AUTOEVENTO="Manual",$M104=1),0,IF(OFFSET(CRONOPLE!$F$14,$M104,AO$13)="",10^12,OFFSET(CRONOPLE!$F$14,$M104,AO$13))))</f>
        <v>1000000000000</v>
      </c>
      <c r="AP104" s="181">
        <f ca="1">IF($D104&lt;&gt;"Serviço",0,IF(AND(AUTOEVENTO="Manual",$M104=1),0,IF(OFFSET(CRONOPLE!$F$14,$M104,AP$13)="",10^12,OFFSET(CRONOPLE!$F$14,$M104,AP$13))))</f>
        <v>1000000000000</v>
      </c>
      <c r="AQ104" s="181">
        <f ca="1">IF($D104&lt;&gt;"Serviço",0,IF(AND(AUTOEVENTO="Manual",$M104=1),0,IF(OFFSET(CRONOPLE!$F$14,$M104,AQ$13)="",10^12,OFFSET(CRONOPLE!$F$14,$M104,AQ$13))))</f>
        <v>1000000000000</v>
      </c>
      <c r="AR104" s="181">
        <f ca="1">IF($D104&lt;&gt;"Serviço",0,IF(AND(AUTOEVENTO="Manual",$M104=1),0,IF(OFFSET(CRONOPLE!$F$14,$M104,AR$13)="",10^12,OFFSET(CRONOPLE!$F$14,$M104,AR$13))))</f>
        <v>1000000000000</v>
      </c>
      <c r="AS104" s="181">
        <f ca="1">IF($D104&lt;&gt;"Serviço",0,IF(AND(AUTOEVENTO="Manual",$M104=1),0,IF(OFFSET(CRONOPLE!$F$14,$M104,AS$13)="",10^12,OFFSET(CRONOPLE!$F$14,$M104,AS$13))))</f>
        <v>1000000000000</v>
      </c>
      <c r="AT104" s="181">
        <f ca="1">IF($D104&lt;&gt;"Serviço",0,IF(AND(AUTOEVENTO="Manual",$M104=1),0,IF(OFFSET(CRONOPLE!$F$14,$M104,AT$13)="",10^12,OFFSET(CRONOPLE!$F$14,$M104,AT$13))))</f>
        <v>1000000000000</v>
      </c>
      <c r="AU104" s="181">
        <f ca="1">IF($D104&lt;&gt;"Serviço",0,IF(AND(AUTOEVENTO="Manual",$M104=1),0,IF(OFFSET(CRONOPLE!$F$14,$M104,AU$13)="",10^12,OFFSET(CRONOPLE!$F$14,$M104,AU$13))))</f>
        <v>1000000000000</v>
      </c>
      <c r="AV104" s="181">
        <f ca="1">IF($D104&lt;&gt;"Serviço",0,IF(AND(AUTOEVENTO="Manual",$M104=1),0,IF(OFFSET(CRONOPLE!$F$14,$M104,AV$13)="",10^12,OFFSET(CRONOPLE!$F$14,$M104,AV$13))))</f>
        <v>1000000000000</v>
      </c>
      <c r="AX104" s="182">
        <f ca="1">IF($D104&lt;&gt;"Serviço",0,IF(OR(AND(AUTOEVENTO="Manual",$M104=1),$M104&gt;(ROW(PLE.lastrow)-ROW(PLE.firstrow))),0,IF(OFFSET(PLE!$G$14,$M104,AX$13)="",10^12,OFFSET(PLE!$G$14,$M104,AX$13))))</f>
        <v>1000000000000</v>
      </c>
      <c r="AY104" s="182">
        <f ca="1">IF($D104&lt;&gt;"Serviço",0,IF(OR(AND(AUTOEVENTO="Manual",$M104=1),$M104&gt;(ROW(PLE.lastrow)-ROW(PLE.firstrow))),0,IF(OFFSET(PLE!$G$14,$M104,AY$13)="",10^12,OFFSET(PLE!$G$14,$M104,AY$13))))</f>
        <v>1000000000000</v>
      </c>
      <c r="AZ104" s="182">
        <f ca="1">IF($D104&lt;&gt;"Serviço",0,IF(OR(AND(AUTOEVENTO="Manual",$M104=1),$M104&gt;(ROW(PLE.lastrow)-ROW(PLE.firstrow))),0,IF(OFFSET(PLE!$G$14,$M104,AZ$13)="",10^12,OFFSET(PLE!$G$14,$M104,AZ$13))))</f>
        <v>1000000000000</v>
      </c>
      <c r="BA104" s="182">
        <f ca="1">IF($D104&lt;&gt;"Serviço",0,IF(OR(AND(AUTOEVENTO="Manual",$M104=1),$M104&gt;(ROW(PLE.lastrow)-ROW(PLE.firstrow))),0,IF(OFFSET(PLE!$G$14,$M104,BA$13)="",10^12,OFFSET(PLE!$G$14,$M104,BA$13))))</f>
        <v>1000000000000</v>
      </c>
      <c r="BB104" s="182">
        <f ca="1">IF($D104&lt;&gt;"Serviço",0,IF(OR(AND(AUTOEVENTO="Manual",$M104=1),$M104&gt;(ROW(PLE.lastrow)-ROW(PLE.firstrow))),0,IF(OFFSET(PLE!$G$14,$M104,BB$13)="",10^12,OFFSET(PLE!$G$14,$M104,BB$13))))</f>
        <v>1000000000000</v>
      </c>
      <c r="BC104" s="182">
        <f ca="1">IF($D104&lt;&gt;"Serviço",0,IF(OR(AND(AUTOEVENTO="Manual",$M104=1),$M104&gt;(ROW(PLE.lastrow)-ROW(PLE.firstrow))),0,IF(OFFSET(PLE!$G$14,$M104,BC$13)="",10^12,OFFSET(PLE!$G$14,$M104,BC$13))))</f>
        <v>1000000000000</v>
      </c>
      <c r="BD104" s="182">
        <f ca="1">IF($D104&lt;&gt;"Serviço",0,IF(OR(AND(AUTOEVENTO="Manual",$M104=1),$M104&gt;(ROW(PLE.lastrow)-ROW(PLE.firstrow))),0,IF(OFFSET(PLE!$G$14,$M104,BD$13)="",10^12,OFFSET(PLE!$G$14,$M104,BD$13))))</f>
        <v>1000000000000</v>
      </c>
      <c r="BE104" s="182">
        <f ca="1">IF($D104&lt;&gt;"Serviço",0,IF(OR(AND(AUTOEVENTO="Manual",$M104=1),$M104&gt;(ROW(PLE.lastrow)-ROW(PLE.firstrow))),0,IF(OFFSET(PLE!$G$14,$M104,BE$13)="",10^12,OFFSET(PLE!$G$14,$M104,BE$13))))</f>
        <v>1000000000000</v>
      </c>
      <c r="BF104" s="182">
        <f ca="1">IF($D104&lt;&gt;"Serviço",0,IF(OR(AND(AUTOEVENTO="Manual",$M104=1),$M104&gt;(ROW(PLE.lastrow)-ROW(PLE.firstrow))),0,IF(OFFSET(PLE!$G$14,$M104,BF$13)="",10^12,OFFSET(PLE!$G$14,$M104,BF$13))))</f>
        <v>1000000000000</v>
      </c>
      <c r="BG104" s="182">
        <f ca="1">IF($D104&lt;&gt;"Serviço",0,IF(OR(AND(AUTOEVENTO="Manual",$M104=1),$M104&gt;(ROW(PLE.lastrow)-ROW(PLE.firstrow))),0,IF(OFFSET(PLE!$G$14,$M104,BG$13)="",10^12,OFFSET(PLE!$G$14,$M104,BG$13))))</f>
        <v>1000000000000</v>
      </c>
    </row>
    <row r="105" spans="1:59" ht="25.5" x14ac:dyDescent="0.2">
      <c r="A105" s="7" t="str">
        <f t="shared" ca="1" si="8"/>
        <v>83</v>
      </c>
      <c r="B105" s="7" t="str">
        <f ca="1">OFFSET(ORÇAMENTO!C$15,ROW(B105)-ROW(B$15),0)</f>
        <v>S</v>
      </c>
      <c r="C105" s="7" t="str">
        <f ca="1">OFFSET(ORÇAMENTO!L$15,ROW(C105)-ROW(C$15),0)</f>
        <v>F</v>
      </c>
      <c r="D105" s="118" t="str">
        <f ca="1">OFFSET(ORÇAMENTO!N$15,ROW(D105)-ROW(D$15),0)</f>
        <v>Serviço</v>
      </c>
      <c r="E105" s="119" t="str">
        <f ca="1">OFFSET(ORÇAMENTO!O$15,ROW(E105)-ROW(E$15),0)</f>
        <v>6.3.7.</v>
      </c>
      <c r="F105" s="172" t="str">
        <f ca="1">OFFSET(ORÇAMENTO!R$15,ROW(F105)-ROW(F$15),0)</f>
        <v>TUBO, PVC, SOLDÁVEL, DE 50MM, INSTALADO EM PRUMADA DE ÁGUA - FORNECIMENTO E INSTALAÇÃO. AF_06/2022</v>
      </c>
      <c r="G105" s="173" t="str">
        <f ca="1">IF($D105&lt;&gt;"Serviço","",OFFSET(ORÇAMENTO!S$15,ROW(G105)-ROW(G$15),0))</f>
        <v>M</v>
      </c>
      <c r="H105" s="124">
        <f ca="1">IF($D105&lt;&gt;"Serviço",0,IF(ACOMPANHAMENTO="BM",ROUND(OFFSET(ORÇAMENTO!AJ$15,ROW(H105)-ROW(H$15),0),15-13*ORÇAMENTO!$AF$7),SUMPRODUCT(($Q$12:$AA$12&lt;&gt;"")*ROUND($Q105:$AA105,15-13*ORÇAMENTO!$AF$7))))</f>
        <v>25</v>
      </c>
      <c r="I105" s="561"/>
      <c r="K105" s="174"/>
      <c r="L105" s="175" t="s">
        <v>255</v>
      </c>
      <c r="M105" s="176">
        <f ca="1">IF($D105&lt;&gt;"Serviço","",IF(AUTOEVENTO="manual",$A105,IF(ISERROR(MATCH($A105,$A$15:OFFSET($A105,-1,0),0)),MAX($M$15:OFFSET(M105,-1,0))+1,INDEX($M$15:OFFSET(M105,-1,0),MATCH($A105,$A$15:OFFSET($A105,-1,0),0)))))</f>
        <v>16</v>
      </c>
      <c r="N105" s="177" t="str">
        <f ca="1">IF($D105&lt;&gt;"Serviço","",IF(AUTOEVENTO="Manual",IF($A105=0,"&lt;-- defina o número do agrupador",OFFSET(EVENTOS!$D$14,$A105,0)),OFFSET($F$15,$A105,0)))</f>
        <v xml:space="preserve">INSTALAÇÕES HIDROSSANITÁRIAS </v>
      </c>
      <c r="O105" s="178"/>
      <c r="Q105" s="178"/>
      <c r="R105" s="179"/>
      <c r="S105" s="179"/>
      <c r="T105" s="179"/>
      <c r="U105" s="179"/>
      <c r="V105" s="179"/>
      <c r="W105" s="179"/>
      <c r="X105" s="179"/>
      <c r="Y105" s="179"/>
      <c r="Z105" s="180"/>
      <c r="AB105" s="544">
        <f ca="1">IF(AND($D105="Serviço",AB$12&lt;&gt;0,$H105&gt;0,OR(AUTOEVENTO&lt;&gt;"manual",$M105&lt;&gt;1)),
IF(Import.TipoArredondamento&lt;&gt;"TransfereGOV",
ROUND(OFFSET($P105,0,AB$13),15-13*ORÇAMENTO!$AF$7)/$H105*OFFSET(ORÇAMENTO!$X$15,ROW(AB105)-ROW(AB$15),0),
ROUND(ROUND(OFFSET($P105,0,AB$13),15-13*ORÇAMENTO!$AF$7)*OFFSET(ORÇAMENTO!$W$15,ROW(AB105)-ROW(AB$15),0),15-13*ORÇAMENTO!$AF$11)),0)</f>
        <v>0</v>
      </c>
      <c r="AC105" s="545">
        <f ca="1">IF(AND($D105="Serviço",AC$12&lt;&gt;0,$H105&gt;0,OR(AUTOEVENTO&lt;&gt;"manual",$M105&lt;&gt;1)),
IF(Import.TipoArredondamento&lt;&gt;"TransfereGOV",
ROUND(OFFSET($P105,0,AC$13),15-13*ORÇAMENTO!$AF$7)/$H105*OFFSET(ORÇAMENTO!$X$15,ROW(AC105)-ROW(AC$15),0),
ROUND(ROUND(OFFSET($P105,0,AC$13),15-13*ORÇAMENTO!$AF$7)*OFFSET(ORÇAMENTO!$W$15,ROW(AC105)-ROW(AC$15),0),15-13*ORÇAMENTO!$AF$11)),0)</f>
        <v>0</v>
      </c>
      <c r="AD105" s="545">
        <f ca="1">IF(AND($D105="Serviço",AD$12&lt;&gt;0,$H105&gt;0,OR(AUTOEVENTO&lt;&gt;"manual",$M105&lt;&gt;1)),
IF(Import.TipoArredondamento&lt;&gt;"TransfereGOV",
ROUND(OFFSET($P105,0,AD$13),15-13*ORÇAMENTO!$AF$7)/$H105*OFFSET(ORÇAMENTO!$X$15,ROW(AD105)-ROW(AD$15),0),
ROUND(ROUND(OFFSET($P105,0,AD$13),15-13*ORÇAMENTO!$AF$7)*OFFSET(ORÇAMENTO!$W$15,ROW(AD105)-ROW(AD$15),0),15-13*ORÇAMENTO!$AF$11)),0)</f>
        <v>0</v>
      </c>
      <c r="AE105" s="545">
        <f ca="1">IF(AND($D105="Serviço",AE$12&lt;&gt;0,$H105&gt;0,OR(AUTOEVENTO&lt;&gt;"manual",$M105&lt;&gt;1)),
IF(Import.TipoArredondamento&lt;&gt;"TransfereGOV",
ROUND(OFFSET($P105,0,AE$13),15-13*ORÇAMENTO!$AF$7)/$H105*OFFSET(ORÇAMENTO!$X$15,ROW(AE105)-ROW(AE$15),0),
ROUND(ROUND(OFFSET($P105,0,AE$13),15-13*ORÇAMENTO!$AF$7)*OFFSET(ORÇAMENTO!$W$15,ROW(AE105)-ROW(AE$15),0),15-13*ORÇAMENTO!$AF$11)),0)</f>
        <v>0</v>
      </c>
      <c r="AF105" s="545">
        <f ca="1">IF(AND($D105="Serviço",AF$12&lt;&gt;0,$H105&gt;0,OR(AUTOEVENTO&lt;&gt;"manual",$M105&lt;&gt;1)),
IF(Import.TipoArredondamento&lt;&gt;"TransfereGOV",
ROUND(OFFSET($P105,0,AF$13),15-13*ORÇAMENTO!$AF$7)/$H105*OFFSET(ORÇAMENTO!$X$15,ROW(AF105)-ROW(AF$15),0),
ROUND(ROUND(OFFSET($P105,0,AF$13),15-13*ORÇAMENTO!$AF$7)*OFFSET(ORÇAMENTO!$W$15,ROW(AF105)-ROW(AF$15),0),15-13*ORÇAMENTO!$AF$11)),0)</f>
        <v>0</v>
      </c>
      <c r="AG105" s="545">
        <f ca="1">IF(AND($D105="Serviço",AG$12&lt;&gt;0,$H105&gt;0,OR(AUTOEVENTO&lt;&gt;"manual",$M105&lt;&gt;1)),
IF(Import.TipoArredondamento&lt;&gt;"TransfereGOV",
ROUND(OFFSET($P105,0,AG$13),15-13*ORÇAMENTO!$AF$7)/$H105*OFFSET(ORÇAMENTO!$X$15,ROW(AG105)-ROW(AG$15),0),
ROUND(ROUND(OFFSET($P105,0,AG$13),15-13*ORÇAMENTO!$AF$7)*OFFSET(ORÇAMENTO!$W$15,ROW(AG105)-ROW(AG$15),0),15-13*ORÇAMENTO!$AF$11)),0)</f>
        <v>0</v>
      </c>
      <c r="AH105" s="545">
        <f ca="1">IF(AND($D105="Serviço",AH$12&lt;&gt;0,$H105&gt;0,OR(AUTOEVENTO&lt;&gt;"manual",$M105&lt;&gt;1)),
IF(Import.TipoArredondamento&lt;&gt;"TransfereGOV",
ROUND(OFFSET($P105,0,AH$13),15-13*ORÇAMENTO!$AF$7)/$H105*OFFSET(ORÇAMENTO!$X$15,ROW(AH105)-ROW(AH$15),0),
ROUND(ROUND(OFFSET($P105,0,AH$13),15-13*ORÇAMENTO!$AF$7)*OFFSET(ORÇAMENTO!$W$15,ROW(AH105)-ROW(AH$15),0),15-13*ORÇAMENTO!$AF$11)),0)</f>
        <v>0</v>
      </c>
      <c r="AI105" s="545">
        <f ca="1">IF(AND($D105="Serviço",AI$12&lt;&gt;0,$H105&gt;0,OR(AUTOEVENTO&lt;&gt;"manual",$M105&lt;&gt;1)),
IF(Import.TipoArredondamento&lt;&gt;"TransfereGOV",
ROUND(OFFSET($P105,0,AI$13),15-13*ORÇAMENTO!$AF$7)/$H105*OFFSET(ORÇAMENTO!$X$15,ROW(AI105)-ROW(AI$15),0),
ROUND(ROUND(OFFSET($P105,0,AI$13),15-13*ORÇAMENTO!$AF$7)*OFFSET(ORÇAMENTO!$W$15,ROW(AI105)-ROW(AI$15),0),15-13*ORÇAMENTO!$AF$11)),0)</f>
        <v>0</v>
      </c>
      <c r="AJ105" s="545">
        <f ca="1">IF(AND($D105="Serviço",AJ$12&lt;&gt;0,$H105&gt;0,OR(AUTOEVENTO&lt;&gt;"manual",$M105&lt;&gt;1)),
IF(Import.TipoArredondamento&lt;&gt;"TransfereGOV",
ROUND(OFFSET($P105,0,AJ$13),15-13*ORÇAMENTO!$AF$7)/$H105*OFFSET(ORÇAMENTO!$X$15,ROW(AJ105)-ROW(AJ$15),0),
ROUND(ROUND(OFFSET($P105,0,AJ$13),15-13*ORÇAMENTO!$AF$7)*OFFSET(ORÇAMENTO!$W$15,ROW(AJ105)-ROW(AJ$15),0),15-13*ORÇAMENTO!$AF$11)),0)</f>
        <v>0</v>
      </c>
      <c r="AK105" s="546">
        <f ca="1">IF(AND($D105="Serviço",AK$12&lt;&gt;0,$H105&gt;0,OR(AUTOEVENTO&lt;&gt;"manual",$M105&lt;&gt;1)),
IF(Import.TipoArredondamento&lt;&gt;"TransfereGOV",
ROUND(OFFSET($P105,0,AK$13),15-13*ORÇAMENTO!$AF$7)/$H105*OFFSET(ORÇAMENTO!$X$15,ROW(AK105)-ROW(AK$15),0),
ROUND(ROUND(OFFSET($P105,0,AK$13),15-13*ORÇAMENTO!$AF$7)*OFFSET(ORÇAMENTO!$W$15,ROW(AK105)-ROW(AK$15),0),15-13*ORÇAMENTO!$AF$11)),0)</f>
        <v>0</v>
      </c>
      <c r="AM105" s="181">
        <f ca="1">IF($D105&lt;&gt;"Serviço",0,IF(AND(AUTOEVENTO="Manual",$M105=1),0,IF(OFFSET(CRONOPLE!$F$14,$M105,AM$13)="",10^12,OFFSET(CRONOPLE!$F$14,$M105,AM$13))))</f>
        <v>1000000000000</v>
      </c>
      <c r="AN105" s="181">
        <f ca="1">IF($D105&lt;&gt;"Serviço",0,IF(AND(AUTOEVENTO="Manual",$M105=1),0,IF(OFFSET(CRONOPLE!$F$14,$M105,AN$13)="",10^12,OFFSET(CRONOPLE!$F$14,$M105,AN$13))))</f>
        <v>1000000000000</v>
      </c>
      <c r="AO105" s="181">
        <f ca="1">IF($D105&lt;&gt;"Serviço",0,IF(AND(AUTOEVENTO="Manual",$M105=1),0,IF(OFFSET(CRONOPLE!$F$14,$M105,AO$13)="",10^12,OFFSET(CRONOPLE!$F$14,$M105,AO$13))))</f>
        <v>1000000000000</v>
      </c>
      <c r="AP105" s="181">
        <f ca="1">IF($D105&lt;&gt;"Serviço",0,IF(AND(AUTOEVENTO="Manual",$M105=1),0,IF(OFFSET(CRONOPLE!$F$14,$M105,AP$13)="",10^12,OFFSET(CRONOPLE!$F$14,$M105,AP$13))))</f>
        <v>1000000000000</v>
      </c>
      <c r="AQ105" s="181">
        <f ca="1">IF($D105&lt;&gt;"Serviço",0,IF(AND(AUTOEVENTO="Manual",$M105=1),0,IF(OFFSET(CRONOPLE!$F$14,$M105,AQ$13)="",10^12,OFFSET(CRONOPLE!$F$14,$M105,AQ$13))))</f>
        <v>1000000000000</v>
      </c>
      <c r="AR105" s="181">
        <f ca="1">IF($D105&lt;&gt;"Serviço",0,IF(AND(AUTOEVENTO="Manual",$M105=1),0,IF(OFFSET(CRONOPLE!$F$14,$M105,AR$13)="",10^12,OFFSET(CRONOPLE!$F$14,$M105,AR$13))))</f>
        <v>1000000000000</v>
      </c>
      <c r="AS105" s="181">
        <f ca="1">IF($D105&lt;&gt;"Serviço",0,IF(AND(AUTOEVENTO="Manual",$M105=1),0,IF(OFFSET(CRONOPLE!$F$14,$M105,AS$13)="",10^12,OFFSET(CRONOPLE!$F$14,$M105,AS$13))))</f>
        <v>1000000000000</v>
      </c>
      <c r="AT105" s="181">
        <f ca="1">IF($D105&lt;&gt;"Serviço",0,IF(AND(AUTOEVENTO="Manual",$M105=1),0,IF(OFFSET(CRONOPLE!$F$14,$M105,AT$13)="",10^12,OFFSET(CRONOPLE!$F$14,$M105,AT$13))))</f>
        <v>1000000000000</v>
      </c>
      <c r="AU105" s="181">
        <f ca="1">IF($D105&lt;&gt;"Serviço",0,IF(AND(AUTOEVENTO="Manual",$M105=1),0,IF(OFFSET(CRONOPLE!$F$14,$M105,AU$13)="",10^12,OFFSET(CRONOPLE!$F$14,$M105,AU$13))))</f>
        <v>1000000000000</v>
      </c>
      <c r="AV105" s="181">
        <f ca="1">IF($D105&lt;&gt;"Serviço",0,IF(AND(AUTOEVENTO="Manual",$M105=1),0,IF(OFFSET(CRONOPLE!$F$14,$M105,AV$13)="",10^12,OFFSET(CRONOPLE!$F$14,$M105,AV$13))))</f>
        <v>1000000000000</v>
      </c>
      <c r="AX105" s="182">
        <f ca="1">IF($D105&lt;&gt;"Serviço",0,IF(OR(AND(AUTOEVENTO="Manual",$M105=1),$M105&gt;(ROW(PLE.lastrow)-ROW(PLE.firstrow))),0,IF(OFFSET(PLE!$G$14,$M105,AX$13)="",10^12,OFFSET(PLE!$G$14,$M105,AX$13))))</f>
        <v>1000000000000</v>
      </c>
      <c r="AY105" s="182">
        <f ca="1">IF($D105&lt;&gt;"Serviço",0,IF(OR(AND(AUTOEVENTO="Manual",$M105=1),$M105&gt;(ROW(PLE.lastrow)-ROW(PLE.firstrow))),0,IF(OFFSET(PLE!$G$14,$M105,AY$13)="",10^12,OFFSET(PLE!$G$14,$M105,AY$13))))</f>
        <v>1000000000000</v>
      </c>
      <c r="AZ105" s="182">
        <f ca="1">IF($D105&lt;&gt;"Serviço",0,IF(OR(AND(AUTOEVENTO="Manual",$M105=1),$M105&gt;(ROW(PLE.lastrow)-ROW(PLE.firstrow))),0,IF(OFFSET(PLE!$G$14,$M105,AZ$13)="",10^12,OFFSET(PLE!$G$14,$M105,AZ$13))))</f>
        <v>1000000000000</v>
      </c>
      <c r="BA105" s="182">
        <f ca="1">IF($D105&lt;&gt;"Serviço",0,IF(OR(AND(AUTOEVENTO="Manual",$M105=1),$M105&gt;(ROW(PLE.lastrow)-ROW(PLE.firstrow))),0,IF(OFFSET(PLE!$G$14,$M105,BA$13)="",10^12,OFFSET(PLE!$G$14,$M105,BA$13))))</f>
        <v>1000000000000</v>
      </c>
      <c r="BB105" s="182">
        <f ca="1">IF($D105&lt;&gt;"Serviço",0,IF(OR(AND(AUTOEVENTO="Manual",$M105=1),$M105&gt;(ROW(PLE.lastrow)-ROW(PLE.firstrow))),0,IF(OFFSET(PLE!$G$14,$M105,BB$13)="",10^12,OFFSET(PLE!$G$14,$M105,BB$13))))</f>
        <v>1000000000000</v>
      </c>
      <c r="BC105" s="182">
        <f ca="1">IF($D105&lt;&gt;"Serviço",0,IF(OR(AND(AUTOEVENTO="Manual",$M105=1),$M105&gt;(ROW(PLE.lastrow)-ROW(PLE.firstrow))),0,IF(OFFSET(PLE!$G$14,$M105,BC$13)="",10^12,OFFSET(PLE!$G$14,$M105,BC$13))))</f>
        <v>1000000000000</v>
      </c>
      <c r="BD105" s="182">
        <f ca="1">IF($D105&lt;&gt;"Serviço",0,IF(OR(AND(AUTOEVENTO="Manual",$M105=1),$M105&gt;(ROW(PLE.lastrow)-ROW(PLE.firstrow))),0,IF(OFFSET(PLE!$G$14,$M105,BD$13)="",10^12,OFFSET(PLE!$G$14,$M105,BD$13))))</f>
        <v>1000000000000</v>
      </c>
      <c r="BE105" s="182">
        <f ca="1">IF($D105&lt;&gt;"Serviço",0,IF(OR(AND(AUTOEVENTO="Manual",$M105=1),$M105&gt;(ROW(PLE.lastrow)-ROW(PLE.firstrow))),0,IF(OFFSET(PLE!$G$14,$M105,BE$13)="",10^12,OFFSET(PLE!$G$14,$M105,BE$13))))</f>
        <v>1000000000000</v>
      </c>
      <c r="BF105" s="182">
        <f ca="1">IF($D105&lt;&gt;"Serviço",0,IF(OR(AND(AUTOEVENTO="Manual",$M105=1),$M105&gt;(ROW(PLE.lastrow)-ROW(PLE.firstrow))),0,IF(OFFSET(PLE!$G$14,$M105,BF$13)="",10^12,OFFSET(PLE!$G$14,$M105,BF$13))))</f>
        <v>1000000000000</v>
      </c>
      <c r="BG105" s="182">
        <f ca="1">IF($D105&lt;&gt;"Serviço",0,IF(OR(AND(AUTOEVENTO="Manual",$M105=1),$M105&gt;(ROW(PLE.lastrow)-ROW(PLE.firstrow))),0,IF(OFFSET(PLE!$G$14,$M105,BG$13)="",10^12,OFFSET(PLE!$G$14,$M105,BG$13))))</f>
        <v>1000000000000</v>
      </c>
    </row>
    <row r="106" spans="1:59" ht="25.5" x14ac:dyDescent="0.2">
      <c r="A106" s="7" t="str">
        <f t="shared" ca="1" si="8"/>
        <v>83</v>
      </c>
      <c r="B106" s="7" t="str">
        <f ca="1">OFFSET(ORÇAMENTO!C$15,ROW(B106)-ROW(B$15),0)</f>
        <v>S</v>
      </c>
      <c r="C106" s="7" t="str">
        <f ca="1">OFFSET(ORÇAMENTO!L$15,ROW(C106)-ROW(C$15),0)</f>
        <v>F</v>
      </c>
      <c r="D106" s="118" t="str">
        <f ca="1">OFFSET(ORÇAMENTO!N$15,ROW(D106)-ROW(D$15),0)</f>
        <v>Serviço</v>
      </c>
      <c r="E106" s="119" t="str">
        <f ca="1">OFFSET(ORÇAMENTO!O$15,ROW(E106)-ROW(E$15),0)</f>
        <v>6.3.8.</v>
      </c>
      <c r="F106" s="172" t="str">
        <f ca="1">OFFSET(ORÇAMENTO!R$15,ROW(F106)-ROW(F$15),0)</f>
        <v>JOELHO 90 GRAUS, PVC, SOLDÁVEL, DN 50MM, INSTALADO EM PRUMADA DE ÁGUA - FORNECIMENTO E INSTALAÇÃO. AF_06/2022</v>
      </c>
      <c r="G106" s="173" t="str">
        <f ca="1">IF($D106&lt;&gt;"Serviço","",OFFSET(ORÇAMENTO!S$15,ROW(G106)-ROW(G$15),0))</f>
        <v>UN</v>
      </c>
      <c r="H106" s="124">
        <f ca="1">IF($D106&lt;&gt;"Serviço",0,IF(ACOMPANHAMENTO="BM",ROUND(OFFSET(ORÇAMENTO!AJ$15,ROW(H106)-ROW(H$15),0),15-13*ORÇAMENTO!$AF$7),SUMPRODUCT(($Q$12:$AA$12&lt;&gt;"")*ROUND($Q106:$AA106,15-13*ORÇAMENTO!$AF$7))))</f>
        <v>8</v>
      </c>
      <c r="I106" s="561"/>
      <c r="K106" s="174"/>
      <c r="L106" s="175" t="s">
        <v>255</v>
      </c>
      <c r="M106" s="176">
        <f ca="1">IF($D106&lt;&gt;"Serviço","",IF(AUTOEVENTO="manual",$A106,IF(ISERROR(MATCH($A106,$A$15:OFFSET($A106,-1,0),0)),MAX($M$15:OFFSET(M106,-1,0))+1,INDEX($M$15:OFFSET(M106,-1,0),MATCH($A106,$A$15:OFFSET($A106,-1,0),0)))))</f>
        <v>16</v>
      </c>
      <c r="N106" s="177" t="str">
        <f ca="1">IF($D106&lt;&gt;"Serviço","",IF(AUTOEVENTO="Manual",IF($A106=0,"&lt;-- defina o número do agrupador",OFFSET(EVENTOS!$D$14,$A106,0)),OFFSET($F$15,$A106,0)))</f>
        <v xml:space="preserve">INSTALAÇÕES HIDROSSANITÁRIAS </v>
      </c>
      <c r="O106" s="178"/>
      <c r="Q106" s="178"/>
      <c r="R106" s="179"/>
      <c r="S106" s="179"/>
      <c r="T106" s="179"/>
      <c r="U106" s="179"/>
      <c r="V106" s="179"/>
      <c r="W106" s="179"/>
      <c r="X106" s="179"/>
      <c r="Y106" s="179"/>
      <c r="Z106" s="180"/>
      <c r="AB106" s="544">
        <f ca="1">IF(AND($D106="Serviço",AB$12&lt;&gt;0,$H106&gt;0,OR(AUTOEVENTO&lt;&gt;"manual",$M106&lt;&gt;1)),
IF(Import.TipoArredondamento&lt;&gt;"TransfereGOV",
ROUND(OFFSET($P106,0,AB$13),15-13*ORÇAMENTO!$AF$7)/$H106*OFFSET(ORÇAMENTO!$X$15,ROW(AB106)-ROW(AB$15),0),
ROUND(ROUND(OFFSET($P106,0,AB$13),15-13*ORÇAMENTO!$AF$7)*OFFSET(ORÇAMENTO!$W$15,ROW(AB106)-ROW(AB$15),0),15-13*ORÇAMENTO!$AF$11)),0)</f>
        <v>0</v>
      </c>
      <c r="AC106" s="545">
        <f ca="1">IF(AND($D106="Serviço",AC$12&lt;&gt;0,$H106&gt;0,OR(AUTOEVENTO&lt;&gt;"manual",$M106&lt;&gt;1)),
IF(Import.TipoArredondamento&lt;&gt;"TransfereGOV",
ROUND(OFFSET($P106,0,AC$13),15-13*ORÇAMENTO!$AF$7)/$H106*OFFSET(ORÇAMENTO!$X$15,ROW(AC106)-ROW(AC$15),0),
ROUND(ROUND(OFFSET($P106,0,AC$13),15-13*ORÇAMENTO!$AF$7)*OFFSET(ORÇAMENTO!$W$15,ROW(AC106)-ROW(AC$15),0),15-13*ORÇAMENTO!$AF$11)),0)</f>
        <v>0</v>
      </c>
      <c r="AD106" s="545">
        <f ca="1">IF(AND($D106="Serviço",AD$12&lt;&gt;0,$H106&gt;0,OR(AUTOEVENTO&lt;&gt;"manual",$M106&lt;&gt;1)),
IF(Import.TipoArredondamento&lt;&gt;"TransfereGOV",
ROUND(OFFSET($P106,0,AD$13),15-13*ORÇAMENTO!$AF$7)/$H106*OFFSET(ORÇAMENTO!$X$15,ROW(AD106)-ROW(AD$15),0),
ROUND(ROUND(OFFSET($P106,0,AD$13),15-13*ORÇAMENTO!$AF$7)*OFFSET(ORÇAMENTO!$W$15,ROW(AD106)-ROW(AD$15),0),15-13*ORÇAMENTO!$AF$11)),0)</f>
        <v>0</v>
      </c>
      <c r="AE106" s="545">
        <f ca="1">IF(AND($D106="Serviço",AE$12&lt;&gt;0,$H106&gt;0,OR(AUTOEVENTO&lt;&gt;"manual",$M106&lt;&gt;1)),
IF(Import.TipoArredondamento&lt;&gt;"TransfereGOV",
ROUND(OFFSET($P106,0,AE$13),15-13*ORÇAMENTO!$AF$7)/$H106*OFFSET(ORÇAMENTO!$X$15,ROW(AE106)-ROW(AE$15),0),
ROUND(ROUND(OFFSET($P106,0,AE$13),15-13*ORÇAMENTO!$AF$7)*OFFSET(ORÇAMENTO!$W$15,ROW(AE106)-ROW(AE$15),0),15-13*ORÇAMENTO!$AF$11)),0)</f>
        <v>0</v>
      </c>
      <c r="AF106" s="545">
        <f ca="1">IF(AND($D106="Serviço",AF$12&lt;&gt;0,$H106&gt;0,OR(AUTOEVENTO&lt;&gt;"manual",$M106&lt;&gt;1)),
IF(Import.TipoArredondamento&lt;&gt;"TransfereGOV",
ROUND(OFFSET($P106,0,AF$13),15-13*ORÇAMENTO!$AF$7)/$H106*OFFSET(ORÇAMENTO!$X$15,ROW(AF106)-ROW(AF$15),0),
ROUND(ROUND(OFFSET($P106,0,AF$13),15-13*ORÇAMENTO!$AF$7)*OFFSET(ORÇAMENTO!$W$15,ROW(AF106)-ROW(AF$15),0),15-13*ORÇAMENTO!$AF$11)),0)</f>
        <v>0</v>
      </c>
      <c r="AG106" s="545">
        <f ca="1">IF(AND($D106="Serviço",AG$12&lt;&gt;0,$H106&gt;0,OR(AUTOEVENTO&lt;&gt;"manual",$M106&lt;&gt;1)),
IF(Import.TipoArredondamento&lt;&gt;"TransfereGOV",
ROUND(OFFSET($P106,0,AG$13),15-13*ORÇAMENTO!$AF$7)/$H106*OFFSET(ORÇAMENTO!$X$15,ROW(AG106)-ROW(AG$15),0),
ROUND(ROUND(OFFSET($P106,0,AG$13),15-13*ORÇAMENTO!$AF$7)*OFFSET(ORÇAMENTO!$W$15,ROW(AG106)-ROW(AG$15),0),15-13*ORÇAMENTO!$AF$11)),0)</f>
        <v>0</v>
      </c>
      <c r="AH106" s="545">
        <f ca="1">IF(AND($D106="Serviço",AH$12&lt;&gt;0,$H106&gt;0,OR(AUTOEVENTO&lt;&gt;"manual",$M106&lt;&gt;1)),
IF(Import.TipoArredondamento&lt;&gt;"TransfereGOV",
ROUND(OFFSET($P106,0,AH$13),15-13*ORÇAMENTO!$AF$7)/$H106*OFFSET(ORÇAMENTO!$X$15,ROW(AH106)-ROW(AH$15),0),
ROUND(ROUND(OFFSET($P106,0,AH$13),15-13*ORÇAMENTO!$AF$7)*OFFSET(ORÇAMENTO!$W$15,ROW(AH106)-ROW(AH$15),0),15-13*ORÇAMENTO!$AF$11)),0)</f>
        <v>0</v>
      </c>
      <c r="AI106" s="545">
        <f ca="1">IF(AND($D106="Serviço",AI$12&lt;&gt;0,$H106&gt;0,OR(AUTOEVENTO&lt;&gt;"manual",$M106&lt;&gt;1)),
IF(Import.TipoArredondamento&lt;&gt;"TransfereGOV",
ROUND(OFFSET($P106,0,AI$13),15-13*ORÇAMENTO!$AF$7)/$H106*OFFSET(ORÇAMENTO!$X$15,ROW(AI106)-ROW(AI$15),0),
ROUND(ROUND(OFFSET($P106,0,AI$13),15-13*ORÇAMENTO!$AF$7)*OFFSET(ORÇAMENTO!$W$15,ROW(AI106)-ROW(AI$15),0),15-13*ORÇAMENTO!$AF$11)),0)</f>
        <v>0</v>
      </c>
      <c r="AJ106" s="545">
        <f ca="1">IF(AND($D106="Serviço",AJ$12&lt;&gt;0,$H106&gt;0,OR(AUTOEVENTO&lt;&gt;"manual",$M106&lt;&gt;1)),
IF(Import.TipoArredondamento&lt;&gt;"TransfereGOV",
ROUND(OFFSET($P106,0,AJ$13),15-13*ORÇAMENTO!$AF$7)/$H106*OFFSET(ORÇAMENTO!$X$15,ROW(AJ106)-ROW(AJ$15),0),
ROUND(ROUND(OFFSET($P106,0,AJ$13),15-13*ORÇAMENTO!$AF$7)*OFFSET(ORÇAMENTO!$W$15,ROW(AJ106)-ROW(AJ$15),0),15-13*ORÇAMENTO!$AF$11)),0)</f>
        <v>0</v>
      </c>
      <c r="AK106" s="546">
        <f ca="1">IF(AND($D106="Serviço",AK$12&lt;&gt;0,$H106&gt;0,OR(AUTOEVENTO&lt;&gt;"manual",$M106&lt;&gt;1)),
IF(Import.TipoArredondamento&lt;&gt;"TransfereGOV",
ROUND(OFFSET($P106,0,AK$13),15-13*ORÇAMENTO!$AF$7)/$H106*OFFSET(ORÇAMENTO!$X$15,ROW(AK106)-ROW(AK$15),0),
ROUND(ROUND(OFFSET($P106,0,AK$13),15-13*ORÇAMENTO!$AF$7)*OFFSET(ORÇAMENTO!$W$15,ROW(AK106)-ROW(AK$15),0),15-13*ORÇAMENTO!$AF$11)),0)</f>
        <v>0</v>
      </c>
      <c r="AM106" s="181">
        <f ca="1">IF($D106&lt;&gt;"Serviço",0,IF(AND(AUTOEVENTO="Manual",$M106=1),0,IF(OFFSET(CRONOPLE!$F$14,$M106,AM$13)="",10^12,OFFSET(CRONOPLE!$F$14,$M106,AM$13))))</f>
        <v>1000000000000</v>
      </c>
      <c r="AN106" s="181">
        <f ca="1">IF($D106&lt;&gt;"Serviço",0,IF(AND(AUTOEVENTO="Manual",$M106=1),0,IF(OFFSET(CRONOPLE!$F$14,$M106,AN$13)="",10^12,OFFSET(CRONOPLE!$F$14,$M106,AN$13))))</f>
        <v>1000000000000</v>
      </c>
      <c r="AO106" s="181">
        <f ca="1">IF($D106&lt;&gt;"Serviço",0,IF(AND(AUTOEVENTO="Manual",$M106=1),0,IF(OFFSET(CRONOPLE!$F$14,$M106,AO$13)="",10^12,OFFSET(CRONOPLE!$F$14,$M106,AO$13))))</f>
        <v>1000000000000</v>
      </c>
      <c r="AP106" s="181">
        <f ca="1">IF($D106&lt;&gt;"Serviço",0,IF(AND(AUTOEVENTO="Manual",$M106=1),0,IF(OFFSET(CRONOPLE!$F$14,$M106,AP$13)="",10^12,OFFSET(CRONOPLE!$F$14,$M106,AP$13))))</f>
        <v>1000000000000</v>
      </c>
      <c r="AQ106" s="181">
        <f ca="1">IF($D106&lt;&gt;"Serviço",0,IF(AND(AUTOEVENTO="Manual",$M106=1),0,IF(OFFSET(CRONOPLE!$F$14,$M106,AQ$13)="",10^12,OFFSET(CRONOPLE!$F$14,$M106,AQ$13))))</f>
        <v>1000000000000</v>
      </c>
      <c r="AR106" s="181">
        <f ca="1">IF($D106&lt;&gt;"Serviço",0,IF(AND(AUTOEVENTO="Manual",$M106=1),0,IF(OFFSET(CRONOPLE!$F$14,$M106,AR$13)="",10^12,OFFSET(CRONOPLE!$F$14,$M106,AR$13))))</f>
        <v>1000000000000</v>
      </c>
      <c r="AS106" s="181">
        <f ca="1">IF($D106&lt;&gt;"Serviço",0,IF(AND(AUTOEVENTO="Manual",$M106=1),0,IF(OFFSET(CRONOPLE!$F$14,$M106,AS$13)="",10^12,OFFSET(CRONOPLE!$F$14,$M106,AS$13))))</f>
        <v>1000000000000</v>
      </c>
      <c r="AT106" s="181">
        <f ca="1">IF($D106&lt;&gt;"Serviço",0,IF(AND(AUTOEVENTO="Manual",$M106=1),0,IF(OFFSET(CRONOPLE!$F$14,$M106,AT$13)="",10^12,OFFSET(CRONOPLE!$F$14,$M106,AT$13))))</f>
        <v>1000000000000</v>
      </c>
      <c r="AU106" s="181">
        <f ca="1">IF($D106&lt;&gt;"Serviço",0,IF(AND(AUTOEVENTO="Manual",$M106=1),0,IF(OFFSET(CRONOPLE!$F$14,$M106,AU$13)="",10^12,OFFSET(CRONOPLE!$F$14,$M106,AU$13))))</f>
        <v>1000000000000</v>
      </c>
      <c r="AV106" s="181">
        <f ca="1">IF($D106&lt;&gt;"Serviço",0,IF(AND(AUTOEVENTO="Manual",$M106=1),0,IF(OFFSET(CRONOPLE!$F$14,$M106,AV$13)="",10^12,OFFSET(CRONOPLE!$F$14,$M106,AV$13))))</f>
        <v>1000000000000</v>
      </c>
      <c r="AX106" s="182">
        <f ca="1">IF($D106&lt;&gt;"Serviço",0,IF(OR(AND(AUTOEVENTO="Manual",$M106=1),$M106&gt;(ROW(PLE.lastrow)-ROW(PLE.firstrow))),0,IF(OFFSET(PLE!$G$14,$M106,AX$13)="",10^12,OFFSET(PLE!$G$14,$M106,AX$13))))</f>
        <v>1000000000000</v>
      </c>
      <c r="AY106" s="182">
        <f ca="1">IF($D106&lt;&gt;"Serviço",0,IF(OR(AND(AUTOEVENTO="Manual",$M106=1),$M106&gt;(ROW(PLE.lastrow)-ROW(PLE.firstrow))),0,IF(OFFSET(PLE!$G$14,$M106,AY$13)="",10^12,OFFSET(PLE!$G$14,$M106,AY$13))))</f>
        <v>1000000000000</v>
      </c>
      <c r="AZ106" s="182">
        <f ca="1">IF($D106&lt;&gt;"Serviço",0,IF(OR(AND(AUTOEVENTO="Manual",$M106=1),$M106&gt;(ROW(PLE.lastrow)-ROW(PLE.firstrow))),0,IF(OFFSET(PLE!$G$14,$M106,AZ$13)="",10^12,OFFSET(PLE!$G$14,$M106,AZ$13))))</f>
        <v>1000000000000</v>
      </c>
      <c r="BA106" s="182">
        <f ca="1">IF($D106&lt;&gt;"Serviço",0,IF(OR(AND(AUTOEVENTO="Manual",$M106=1),$M106&gt;(ROW(PLE.lastrow)-ROW(PLE.firstrow))),0,IF(OFFSET(PLE!$G$14,$M106,BA$13)="",10^12,OFFSET(PLE!$G$14,$M106,BA$13))))</f>
        <v>1000000000000</v>
      </c>
      <c r="BB106" s="182">
        <f ca="1">IF($D106&lt;&gt;"Serviço",0,IF(OR(AND(AUTOEVENTO="Manual",$M106=1),$M106&gt;(ROW(PLE.lastrow)-ROW(PLE.firstrow))),0,IF(OFFSET(PLE!$G$14,$M106,BB$13)="",10^12,OFFSET(PLE!$G$14,$M106,BB$13))))</f>
        <v>1000000000000</v>
      </c>
      <c r="BC106" s="182">
        <f ca="1">IF($D106&lt;&gt;"Serviço",0,IF(OR(AND(AUTOEVENTO="Manual",$M106=1),$M106&gt;(ROW(PLE.lastrow)-ROW(PLE.firstrow))),0,IF(OFFSET(PLE!$G$14,$M106,BC$13)="",10^12,OFFSET(PLE!$G$14,$M106,BC$13))))</f>
        <v>1000000000000</v>
      </c>
      <c r="BD106" s="182">
        <f ca="1">IF($D106&lt;&gt;"Serviço",0,IF(OR(AND(AUTOEVENTO="Manual",$M106=1),$M106&gt;(ROW(PLE.lastrow)-ROW(PLE.firstrow))),0,IF(OFFSET(PLE!$G$14,$M106,BD$13)="",10^12,OFFSET(PLE!$G$14,$M106,BD$13))))</f>
        <v>1000000000000</v>
      </c>
      <c r="BE106" s="182">
        <f ca="1">IF($D106&lt;&gt;"Serviço",0,IF(OR(AND(AUTOEVENTO="Manual",$M106=1),$M106&gt;(ROW(PLE.lastrow)-ROW(PLE.firstrow))),0,IF(OFFSET(PLE!$G$14,$M106,BE$13)="",10^12,OFFSET(PLE!$G$14,$M106,BE$13))))</f>
        <v>1000000000000</v>
      </c>
      <c r="BF106" s="182">
        <f ca="1">IF($D106&lt;&gt;"Serviço",0,IF(OR(AND(AUTOEVENTO="Manual",$M106=1),$M106&gt;(ROW(PLE.lastrow)-ROW(PLE.firstrow))),0,IF(OFFSET(PLE!$G$14,$M106,BF$13)="",10^12,OFFSET(PLE!$G$14,$M106,BF$13))))</f>
        <v>1000000000000</v>
      </c>
      <c r="BG106" s="182">
        <f ca="1">IF($D106&lt;&gt;"Serviço",0,IF(OR(AND(AUTOEVENTO="Manual",$M106=1),$M106&gt;(ROW(PLE.lastrow)-ROW(PLE.firstrow))),0,IF(OFFSET(PLE!$G$14,$M106,BG$13)="",10^12,OFFSET(PLE!$G$14,$M106,BG$13))))</f>
        <v>1000000000000</v>
      </c>
    </row>
    <row r="107" spans="1:59" ht="38.25" x14ac:dyDescent="0.2">
      <c r="A107" s="7" t="str">
        <f t="shared" ca="1" si="8"/>
        <v>83</v>
      </c>
      <c r="B107" s="7" t="str">
        <f ca="1">OFFSET(ORÇAMENTO!C$15,ROW(B107)-ROW(B$15),0)</f>
        <v>S</v>
      </c>
      <c r="C107" s="7" t="str">
        <f ca="1">OFFSET(ORÇAMENTO!L$15,ROW(C107)-ROW(C$15),0)</f>
        <v>F</v>
      </c>
      <c r="D107" s="118" t="str">
        <f ca="1">OFFSET(ORÇAMENTO!N$15,ROW(D107)-ROW(D$15),0)</f>
        <v>Serviço</v>
      </c>
      <c r="E107" s="119" t="str">
        <f ca="1">OFFSET(ORÇAMENTO!O$15,ROW(E107)-ROW(E$15),0)</f>
        <v>6.3.9.</v>
      </c>
      <c r="F107" s="172" t="str">
        <f ca="1">OFFSET(ORÇAMENTO!R$15,ROW(F107)-ROW(F$15),0)</f>
        <v>CAIXA D´ÁGUA EM POLIETILENO, 500 LITROS (INCLUSOS TUBOS, CONEXÕES E TORNEIRA DE BÓIA) - FORNECIMENTO E INSTALAÇÃO. AF_06/2021</v>
      </c>
      <c r="G107" s="173" t="str">
        <f ca="1">IF($D107&lt;&gt;"Serviço","",OFFSET(ORÇAMENTO!S$15,ROW(G107)-ROW(G$15),0))</f>
        <v>UN</v>
      </c>
      <c r="H107" s="124">
        <f ca="1">IF($D107&lt;&gt;"Serviço",0,IF(ACOMPANHAMENTO="BM",ROUND(OFFSET(ORÇAMENTO!AJ$15,ROW(H107)-ROW(H$15),0),15-13*ORÇAMENTO!$AF$7),SUMPRODUCT(($Q$12:$AA$12&lt;&gt;"")*ROUND($Q107:$AA107,15-13*ORÇAMENTO!$AF$7))))</f>
        <v>2</v>
      </c>
      <c r="I107" s="561"/>
      <c r="K107" s="174"/>
      <c r="L107" s="175" t="s">
        <v>255</v>
      </c>
      <c r="M107" s="176">
        <f ca="1">IF($D107&lt;&gt;"Serviço","",IF(AUTOEVENTO="manual",$A107,IF(ISERROR(MATCH($A107,$A$15:OFFSET($A107,-1,0),0)),MAX($M$15:OFFSET(M107,-1,0))+1,INDEX($M$15:OFFSET(M107,-1,0),MATCH($A107,$A$15:OFFSET($A107,-1,0),0)))))</f>
        <v>16</v>
      </c>
      <c r="N107" s="177" t="str">
        <f ca="1">IF($D107&lt;&gt;"Serviço","",IF(AUTOEVENTO="Manual",IF($A107=0,"&lt;-- defina o número do agrupador",OFFSET(EVENTOS!$D$14,$A107,0)),OFFSET($F$15,$A107,0)))</f>
        <v xml:space="preserve">INSTALAÇÕES HIDROSSANITÁRIAS </v>
      </c>
      <c r="O107" s="178"/>
      <c r="Q107" s="178"/>
      <c r="R107" s="179"/>
      <c r="S107" s="179"/>
      <c r="T107" s="179"/>
      <c r="U107" s="179"/>
      <c r="V107" s="179"/>
      <c r="W107" s="179"/>
      <c r="X107" s="179"/>
      <c r="Y107" s="179"/>
      <c r="Z107" s="180"/>
      <c r="AB107" s="544">
        <f ca="1">IF(AND($D107="Serviço",AB$12&lt;&gt;0,$H107&gt;0,OR(AUTOEVENTO&lt;&gt;"manual",$M107&lt;&gt;1)),
IF(Import.TipoArredondamento&lt;&gt;"TransfereGOV",
ROUND(OFFSET($P107,0,AB$13),15-13*ORÇAMENTO!$AF$7)/$H107*OFFSET(ORÇAMENTO!$X$15,ROW(AB107)-ROW(AB$15),0),
ROUND(ROUND(OFFSET($P107,0,AB$13),15-13*ORÇAMENTO!$AF$7)*OFFSET(ORÇAMENTO!$W$15,ROW(AB107)-ROW(AB$15),0),15-13*ORÇAMENTO!$AF$11)),0)</f>
        <v>0</v>
      </c>
      <c r="AC107" s="545">
        <f ca="1">IF(AND($D107="Serviço",AC$12&lt;&gt;0,$H107&gt;0,OR(AUTOEVENTO&lt;&gt;"manual",$M107&lt;&gt;1)),
IF(Import.TipoArredondamento&lt;&gt;"TransfereGOV",
ROUND(OFFSET($P107,0,AC$13),15-13*ORÇAMENTO!$AF$7)/$H107*OFFSET(ORÇAMENTO!$X$15,ROW(AC107)-ROW(AC$15),0),
ROUND(ROUND(OFFSET($P107,0,AC$13),15-13*ORÇAMENTO!$AF$7)*OFFSET(ORÇAMENTO!$W$15,ROW(AC107)-ROW(AC$15),0),15-13*ORÇAMENTO!$AF$11)),0)</f>
        <v>0</v>
      </c>
      <c r="AD107" s="545">
        <f ca="1">IF(AND($D107="Serviço",AD$12&lt;&gt;0,$H107&gt;0,OR(AUTOEVENTO&lt;&gt;"manual",$M107&lt;&gt;1)),
IF(Import.TipoArredondamento&lt;&gt;"TransfereGOV",
ROUND(OFFSET($P107,0,AD$13),15-13*ORÇAMENTO!$AF$7)/$H107*OFFSET(ORÇAMENTO!$X$15,ROW(AD107)-ROW(AD$15),0),
ROUND(ROUND(OFFSET($P107,0,AD$13),15-13*ORÇAMENTO!$AF$7)*OFFSET(ORÇAMENTO!$W$15,ROW(AD107)-ROW(AD$15),0),15-13*ORÇAMENTO!$AF$11)),0)</f>
        <v>0</v>
      </c>
      <c r="AE107" s="545">
        <f ca="1">IF(AND($D107="Serviço",AE$12&lt;&gt;0,$H107&gt;0,OR(AUTOEVENTO&lt;&gt;"manual",$M107&lt;&gt;1)),
IF(Import.TipoArredondamento&lt;&gt;"TransfereGOV",
ROUND(OFFSET($P107,0,AE$13),15-13*ORÇAMENTO!$AF$7)/$H107*OFFSET(ORÇAMENTO!$X$15,ROW(AE107)-ROW(AE$15),0),
ROUND(ROUND(OFFSET($P107,0,AE$13),15-13*ORÇAMENTO!$AF$7)*OFFSET(ORÇAMENTO!$W$15,ROW(AE107)-ROW(AE$15),0),15-13*ORÇAMENTO!$AF$11)),0)</f>
        <v>0</v>
      </c>
      <c r="AF107" s="545">
        <f ca="1">IF(AND($D107="Serviço",AF$12&lt;&gt;0,$H107&gt;0,OR(AUTOEVENTO&lt;&gt;"manual",$M107&lt;&gt;1)),
IF(Import.TipoArredondamento&lt;&gt;"TransfereGOV",
ROUND(OFFSET($P107,0,AF$13),15-13*ORÇAMENTO!$AF$7)/$H107*OFFSET(ORÇAMENTO!$X$15,ROW(AF107)-ROW(AF$15),0),
ROUND(ROUND(OFFSET($P107,0,AF$13),15-13*ORÇAMENTO!$AF$7)*OFFSET(ORÇAMENTO!$W$15,ROW(AF107)-ROW(AF$15),0),15-13*ORÇAMENTO!$AF$11)),0)</f>
        <v>0</v>
      </c>
      <c r="AG107" s="545">
        <f ca="1">IF(AND($D107="Serviço",AG$12&lt;&gt;0,$H107&gt;0,OR(AUTOEVENTO&lt;&gt;"manual",$M107&lt;&gt;1)),
IF(Import.TipoArredondamento&lt;&gt;"TransfereGOV",
ROUND(OFFSET($P107,0,AG$13),15-13*ORÇAMENTO!$AF$7)/$H107*OFFSET(ORÇAMENTO!$X$15,ROW(AG107)-ROW(AG$15),0),
ROUND(ROUND(OFFSET($P107,0,AG$13),15-13*ORÇAMENTO!$AF$7)*OFFSET(ORÇAMENTO!$W$15,ROW(AG107)-ROW(AG$15),0),15-13*ORÇAMENTO!$AF$11)),0)</f>
        <v>0</v>
      </c>
      <c r="AH107" s="545">
        <f ca="1">IF(AND($D107="Serviço",AH$12&lt;&gt;0,$H107&gt;0,OR(AUTOEVENTO&lt;&gt;"manual",$M107&lt;&gt;1)),
IF(Import.TipoArredondamento&lt;&gt;"TransfereGOV",
ROUND(OFFSET($P107,0,AH$13),15-13*ORÇAMENTO!$AF$7)/$H107*OFFSET(ORÇAMENTO!$X$15,ROW(AH107)-ROW(AH$15),0),
ROUND(ROUND(OFFSET($P107,0,AH$13),15-13*ORÇAMENTO!$AF$7)*OFFSET(ORÇAMENTO!$W$15,ROW(AH107)-ROW(AH$15),0),15-13*ORÇAMENTO!$AF$11)),0)</f>
        <v>0</v>
      </c>
      <c r="AI107" s="545">
        <f ca="1">IF(AND($D107="Serviço",AI$12&lt;&gt;0,$H107&gt;0,OR(AUTOEVENTO&lt;&gt;"manual",$M107&lt;&gt;1)),
IF(Import.TipoArredondamento&lt;&gt;"TransfereGOV",
ROUND(OFFSET($P107,0,AI$13),15-13*ORÇAMENTO!$AF$7)/$H107*OFFSET(ORÇAMENTO!$X$15,ROW(AI107)-ROW(AI$15),0),
ROUND(ROUND(OFFSET($P107,0,AI$13),15-13*ORÇAMENTO!$AF$7)*OFFSET(ORÇAMENTO!$W$15,ROW(AI107)-ROW(AI$15),0),15-13*ORÇAMENTO!$AF$11)),0)</f>
        <v>0</v>
      </c>
      <c r="AJ107" s="545">
        <f ca="1">IF(AND($D107="Serviço",AJ$12&lt;&gt;0,$H107&gt;0,OR(AUTOEVENTO&lt;&gt;"manual",$M107&lt;&gt;1)),
IF(Import.TipoArredondamento&lt;&gt;"TransfereGOV",
ROUND(OFFSET($P107,0,AJ$13),15-13*ORÇAMENTO!$AF$7)/$H107*OFFSET(ORÇAMENTO!$X$15,ROW(AJ107)-ROW(AJ$15),0),
ROUND(ROUND(OFFSET($P107,0,AJ$13),15-13*ORÇAMENTO!$AF$7)*OFFSET(ORÇAMENTO!$W$15,ROW(AJ107)-ROW(AJ$15),0),15-13*ORÇAMENTO!$AF$11)),0)</f>
        <v>0</v>
      </c>
      <c r="AK107" s="546">
        <f ca="1">IF(AND($D107="Serviço",AK$12&lt;&gt;0,$H107&gt;0,OR(AUTOEVENTO&lt;&gt;"manual",$M107&lt;&gt;1)),
IF(Import.TipoArredondamento&lt;&gt;"TransfereGOV",
ROUND(OFFSET($P107,0,AK$13),15-13*ORÇAMENTO!$AF$7)/$H107*OFFSET(ORÇAMENTO!$X$15,ROW(AK107)-ROW(AK$15),0),
ROUND(ROUND(OFFSET($P107,0,AK$13),15-13*ORÇAMENTO!$AF$7)*OFFSET(ORÇAMENTO!$W$15,ROW(AK107)-ROW(AK$15),0),15-13*ORÇAMENTO!$AF$11)),0)</f>
        <v>0</v>
      </c>
      <c r="AM107" s="181">
        <f ca="1">IF($D107&lt;&gt;"Serviço",0,IF(AND(AUTOEVENTO="Manual",$M107=1),0,IF(OFFSET(CRONOPLE!$F$14,$M107,AM$13)="",10^12,OFFSET(CRONOPLE!$F$14,$M107,AM$13))))</f>
        <v>1000000000000</v>
      </c>
      <c r="AN107" s="181">
        <f ca="1">IF($D107&lt;&gt;"Serviço",0,IF(AND(AUTOEVENTO="Manual",$M107=1),0,IF(OFFSET(CRONOPLE!$F$14,$M107,AN$13)="",10^12,OFFSET(CRONOPLE!$F$14,$M107,AN$13))))</f>
        <v>1000000000000</v>
      </c>
      <c r="AO107" s="181">
        <f ca="1">IF($D107&lt;&gt;"Serviço",0,IF(AND(AUTOEVENTO="Manual",$M107=1),0,IF(OFFSET(CRONOPLE!$F$14,$M107,AO$13)="",10^12,OFFSET(CRONOPLE!$F$14,$M107,AO$13))))</f>
        <v>1000000000000</v>
      </c>
      <c r="AP107" s="181">
        <f ca="1">IF($D107&lt;&gt;"Serviço",0,IF(AND(AUTOEVENTO="Manual",$M107=1),0,IF(OFFSET(CRONOPLE!$F$14,$M107,AP$13)="",10^12,OFFSET(CRONOPLE!$F$14,$M107,AP$13))))</f>
        <v>1000000000000</v>
      </c>
      <c r="AQ107" s="181">
        <f ca="1">IF($D107&lt;&gt;"Serviço",0,IF(AND(AUTOEVENTO="Manual",$M107=1),0,IF(OFFSET(CRONOPLE!$F$14,$M107,AQ$13)="",10^12,OFFSET(CRONOPLE!$F$14,$M107,AQ$13))))</f>
        <v>1000000000000</v>
      </c>
      <c r="AR107" s="181">
        <f ca="1">IF($D107&lt;&gt;"Serviço",0,IF(AND(AUTOEVENTO="Manual",$M107=1),0,IF(OFFSET(CRONOPLE!$F$14,$M107,AR$13)="",10^12,OFFSET(CRONOPLE!$F$14,$M107,AR$13))))</f>
        <v>1000000000000</v>
      </c>
      <c r="AS107" s="181">
        <f ca="1">IF($D107&lt;&gt;"Serviço",0,IF(AND(AUTOEVENTO="Manual",$M107=1),0,IF(OFFSET(CRONOPLE!$F$14,$M107,AS$13)="",10^12,OFFSET(CRONOPLE!$F$14,$M107,AS$13))))</f>
        <v>1000000000000</v>
      </c>
      <c r="AT107" s="181">
        <f ca="1">IF($D107&lt;&gt;"Serviço",0,IF(AND(AUTOEVENTO="Manual",$M107=1),0,IF(OFFSET(CRONOPLE!$F$14,$M107,AT$13)="",10^12,OFFSET(CRONOPLE!$F$14,$M107,AT$13))))</f>
        <v>1000000000000</v>
      </c>
      <c r="AU107" s="181">
        <f ca="1">IF($D107&lt;&gt;"Serviço",0,IF(AND(AUTOEVENTO="Manual",$M107=1),0,IF(OFFSET(CRONOPLE!$F$14,$M107,AU$13)="",10^12,OFFSET(CRONOPLE!$F$14,$M107,AU$13))))</f>
        <v>1000000000000</v>
      </c>
      <c r="AV107" s="181">
        <f ca="1">IF($D107&lt;&gt;"Serviço",0,IF(AND(AUTOEVENTO="Manual",$M107=1),0,IF(OFFSET(CRONOPLE!$F$14,$M107,AV$13)="",10^12,OFFSET(CRONOPLE!$F$14,$M107,AV$13))))</f>
        <v>1000000000000</v>
      </c>
      <c r="AX107" s="182">
        <f ca="1">IF($D107&lt;&gt;"Serviço",0,IF(OR(AND(AUTOEVENTO="Manual",$M107=1),$M107&gt;(ROW(PLE.lastrow)-ROW(PLE.firstrow))),0,IF(OFFSET(PLE!$G$14,$M107,AX$13)="",10^12,OFFSET(PLE!$G$14,$M107,AX$13))))</f>
        <v>1000000000000</v>
      </c>
      <c r="AY107" s="182">
        <f ca="1">IF($D107&lt;&gt;"Serviço",0,IF(OR(AND(AUTOEVENTO="Manual",$M107=1),$M107&gt;(ROW(PLE.lastrow)-ROW(PLE.firstrow))),0,IF(OFFSET(PLE!$G$14,$M107,AY$13)="",10^12,OFFSET(PLE!$G$14,$M107,AY$13))))</f>
        <v>1000000000000</v>
      </c>
      <c r="AZ107" s="182">
        <f ca="1">IF($D107&lt;&gt;"Serviço",0,IF(OR(AND(AUTOEVENTO="Manual",$M107=1),$M107&gt;(ROW(PLE.lastrow)-ROW(PLE.firstrow))),0,IF(OFFSET(PLE!$G$14,$M107,AZ$13)="",10^12,OFFSET(PLE!$G$14,$M107,AZ$13))))</f>
        <v>1000000000000</v>
      </c>
      <c r="BA107" s="182">
        <f ca="1">IF($D107&lt;&gt;"Serviço",0,IF(OR(AND(AUTOEVENTO="Manual",$M107=1),$M107&gt;(ROW(PLE.lastrow)-ROW(PLE.firstrow))),0,IF(OFFSET(PLE!$G$14,$M107,BA$13)="",10^12,OFFSET(PLE!$G$14,$M107,BA$13))))</f>
        <v>1000000000000</v>
      </c>
      <c r="BB107" s="182">
        <f ca="1">IF($D107&lt;&gt;"Serviço",0,IF(OR(AND(AUTOEVENTO="Manual",$M107=1),$M107&gt;(ROW(PLE.lastrow)-ROW(PLE.firstrow))),0,IF(OFFSET(PLE!$G$14,$M107,BB$13)="",10^12,OFFSET(PLE!$G$14,$M107,BB$13))))</f>
        <v>1000000000000</v>
      </c>
      <c r="BC107" s="182">
        <f ca="1">IF($D107&lt;&gt;"Serviço",0,IF(OR(AND(AUTOEVENTO="Manual",$M107=1),$M107&gt;(ROW(PLE.lastrow)-ROW(PLE.firstrow))),0,IF(OFFSET(PLE!$G$14,$M107,BC$13)="",10^12,OFFSET(PLE!$G$14,$M107,BC$13))))</f>
        <v>1000000000000</v>
      </c>
      <c r="BD107" s="182">
        <f ca="1">IF($D107&lt;&gt;"Serviço",0,IF(OR(AND(AUTOEVENTO="Manual",$M107=1),$M107&gt;(ROW(PLE.lastrow)-ROW(PLE.firstrow))),0,IF(OFFSET(PLE!$G$14,$M107,BD$13)="",10^12,OFFSET(PLE!$G$14,$M107,BD$13))))</f>
        <v>1000000000000</v>
      </c>
      <c r="BE107" s="182">
        <f ca="1">IF($D107&lt;&gt;"Serviço",0,IF(OR(AND(AUTOEVENTO="Manual",$M107=1),$M107&gt;(ROW(PLE.lastrow)-ROW(PLE.firstrow))),0,IF(OFFSET(PLE!$G$14,$M107,BE$13)="",10^12,OFFSET(PLE!$G$14,$M107,BE$13))))</f>
        <v>1000000000000</v>
      </c>
      <c r="BF107" s="182">
        <f ca="1">IF($D107&lt;&gt;"Serviço",0,IF(OR(AND(AUTOEVENTO="Manual",$M107=1),$M107&gt;(ROW(PLE.lastrow)-ROW(PLE.firstrow))),0,IF(OFFSET(PLE!$G$14,$M107,BF$13)="",10^12,OFFSET(PLE!$G$14,$M107,BF$13))))</f>
        <v>1000000000000</v>
      </c>
      <c r="BG107" s="182">
        <f ca="1">IF($D107&lt;&gt;"Serviço",0,IF(OR(AND(AUTOEVENTO="Manual",$M107=1),$M107&gt;(ROW(PLE.lastrow)-ROW(PLE.firstrow))),0,IF(OFFSET(PLE!$G$14,$M107,BG$13)="",10^12,OFFSET(PLE!$G$14,$M107,BG$13))))</f>
        <v>1000000000000</v>
      </c>
    </row>
    <row r="108" spans="1:59" ht="38.25" x14ac:dyDescent="0.2">
      <c r="A108" s="7" t="str">
        <f t="shared" ca="1" si="8"/>
        <v>83</v>
      </c>
      <c r="B108" s="7" t="str">
        <f ca="1">OFFSET(ORÇAMENTO!C$15,ROW(B108)-ROW(B$15),0)</f>
        <v>S</v>
      </c>
      <c r="C108" s="7" t="str">
        <f ca="1">OFFSET(ORÇAMENTO!L$15,ROW(C108)-ROW(C$15),0)</f>
        <v>F</v>
      </c>
      <c r="D108" s="118" t="str">
        <f ca="1">OFFSET(ORÇAMENTO!N$15,ROW(D108)-ROW(D$15),0)</f>
        <v>Serviço</v>
      </c>
      <c r="E108" s="119" t="str">
        <f ca="1">OFFSET(ORÇAMENTO!O$15,ROW(E108)-ROW(E$15),0)</f>
        <v>6.3.10.</v>
      </c>
      <c r="F108" s="172" t="str">
        <f ca="1">OFFSET(ORÇAMENTO!R$15,ROW(F108)-ROW(F$15),0)</f>
        <v>TUBO PVC, SERIE NORMAL, ESGOTO PREDIAL, DN 50 MM, FORNECIDO E INSTALADO EM RAMAL DE DESCARGA OU RAMAL DE ESGOTO SANITÁRIO. AF_08/2022</v>
      </c>
      <c r="G108" s="173" t="str">
        <f ca="1">IF($D108&lt;&gt;"Serviço","",OFFSET(ORÇAMENTO!S$15,ROW(G108)-ROW(G$15),0))</f>
        <v>M</v>
      </c>
      <c r="H108" s="124">
        <f ca="1">IF($D108&lt;&gt;"Serviço",0,IF(ACOMPANHAMENTO="BM",ROUND(OFFSET(ORÇAMENTO!AJ$15,ROW(H108)-ROW(H$15),0),15-13*ORÇAMENTO!$AF$7),SUMPRODUCT(($Q$12:$AA$12&lt;&gt;"")*ROUND($Q108:$AA108,15-13*ORÇAMENTO!$AF$7))))</f>
        <v>28</v>
      </c>
      <c r="I108" s="561"/>
      <c r="K108" s="174"/>
      <c r="L108" s="175" t="s">
        <v>255</v>
      </c>
      <c r="M108" s="176">
        <f ca="1">IF($D108&lt;&gt;"Serviço","",IF(AUTOEVENTO="manual",$A108,IF(ISERROR(MATCH($A108,$A$15:OFFSET($A108,-1,0),0)),MAX($M$15:OFFSET(M108,-1,0))+1,INDEX($M$15:OFFSET(M108,-1,0),MATCH($A108,$A$15:OFFSET($A108,-1,0),0)))))</f>
        <v>16</v>
      </c>
      <c r="N108" s="177" t="str">
        <f ca="1">IF($D108&lt;&gt;"Serviço","",IF(AUTOEVENTO="Manual",IF($A108=0,"&lt;-- defina o número do agrupador",OFFSET(EVENTOS!$D$14,$A108,0)),OFFSET($F$15,$A108,0)))</f>
        <v xml:space="preserve">INSTALAÇÕES HIDROSSANITÁRIAS </v>
      </c>
      <c r="O108" s="178"/>
      <c r="Q108" s="178"/>
      <c r="R108" s="179"/>
      <c r="S108" s="179"/>
      <c r="T108" s="179"/>
      <c r="U108" s="179"/>
      <c r="V108" s="179"/>
      <c r="W108" s="179"/>
      <c r="X108" s="179"/>
      <c r="Y108" s="179"/>
      <c r="Z108" s="180"/>
      <c r="AB108" s="544">
        <f ca="1">IF(AND($D108="Serviço",AB$12&lt;&gt;0,$H108&gt;0,OR(AUTOEVENTO&lt;&gt;"manual",$M108&lt;&gt;1)),
IF(Import.TipoArredondamento&lt;&gt;"TransfereGOV",
ROUND(OFFSET($P108,0,AB$13),15-13*ORÇAMENTO!$AF$7)/$H108*OFFSET(ORÇAMENTO!$X$15,ROW(AB108)-ROW(AB$15),0),
ROUND(ROUND(OFFSET($P108,0,AB$13),15-13*ORÇAMENTO!$AF$7)*OFFSET(ORÇAMENTO!$W$15,ROW(AB108)-ROW(AB$15),0),15-13*ORÇAMENTO!$AF$11)),0)</f>
        <v>0</v>
      </c>
      <c r="AC108" s="545">
        <f ca="1">IF(AND($D108="Serviço",AC$12&lt;&gt;0,$H108&gt;0,OR(AUTOEVENTO&lt;&gt;"manual",$M108&lt;&gt;1)),
IF(Import.TipoArredondamento&lt;&gt;"TransfereGOV",
ROUND(OFFSET($P108,0,AC$13),15-13*ORÇAMENTO!$AF$7)/$H108*OFFSET(ORÇAMENTO!$X$15,ROW(AC108)-ROW(AC$15),0),
ROUND(ROUND(OFFSET($P108,0,AC$13),15-13*ORÇAMENTO!$AF$7)*OFFSET(ORÇAMENTO!$W$15,ROW(AC108)-ROW(AC$15),0),15-13*ORÇAMENTO!$AF$11)),0)</f>
        <v>0</v>
      </c>
      <c r="AD108" s="545">
        <f ca="1">IF(AND($D108="Serviço",AD$12&lt;&gt;0,$H108&gt;0,OR(AUTOEVENTO&lt;&gt;"manual",$M108&lt;&gt;1)),
IF(Import.TipoArredondamento&lt;&gt;"TransfereGOV",
ROUND(OFFSET($P108,0,AD$13),15-13*ORÇAMENTO!$AF$7)/$H108*OFFSET(ORÇAMENTO!$X$15,ROW(AD108)-ROW(AD$15),0),
ROUND(ROUND(OFFSET($P108,0,AD$13),15-13*ORÇAMENTO!$AF$7)*OFFSET(ORÇAMENTO!$W$15,ROW(AD108)-ROW(AD$15),0),15-13*ORÇAMENTO!$AF$11)),0)</f>
        <v>0</v>
      </c>
      <c r="AE108" s="545">
        <f ca="1">IF(AND($D108="Serviço",AE$12&lt;&gt;0,$H108&gt;0,OR(AUTOEVENTO&lt;&gt;"manual",$M108&lt;&gt;1)),
IF(Import.TipoArredondamento&lt;&gt;"TransfereGOV",
ROUND(OFFSET($P108,0,AE$13),15-13*ORÇAMENTO!$AF$7)/$H108*OFFSET(ORÇAMENTO!$X$15,ROW(AE108)-ROW(AE$15),0),
ROUND(ROUND(OFFSET($P108,0,AE$13),15-13*ORÇAMENTO!$AF$7)*OFFSET(ORÇAMENTO!$W$15,ROW(AE108)-ROW(AE$15),0),15-13*ORÇAMENTO!$AF$11)),0)</f>
        <v>0</v>
      </c>
      <c r="AF108" s="545">
        <f ca="1">IF(AND($D108="Serviço",AF$12&lt;&gt;0,$H108&gt;0,OR(AUTOEVENTO&lt;&gt;"manual",$M108&lt;&gt;1)),
IF(Import.TipoArredondamento&lt;&gt;"TransfereGOV",
ROUND(OFFSET($P108,0,AF$13),15-13*ORÇAMENTO!$AF$7)/$H108*OFFSET(ORÇAMENTO!$X$15,ROW(AF108)-ROW(AF$15),0),
ROUND(ROUND(OFFSET($P108,0,AF$13),15-13*ORÇAMENTO!$AF$7)*OFFSET(ORÇAMENTO!$W$15,ROW(AF108)-ROW(AF$15),0),15-13*ORÇAMENTO!$AF$11)),0)</f>
        <v>0</v>
      </c>
      <c r="AG108" s="545">
        <f ca="1">IF(AND($D108="Serviço",AG$12&lt;&gt;0,$H108&gt;0,OR(AUTOEVENTO&lt;&gt;"manual",$M108&lt;&gt;1)),
IF(Import.TipoArredondamento&lt;&gt;"TransfereGOV",
ROUND(OFFSET($P108,0,AG$13),15-13*ORÇAMENTO!$AF$7)/$H108*OFFSET(ORÇAMENTO!$X$15,ROW(AG108)-ROW(AG$15),0),
ROUND(ROUND(OFFSET($P108,0,AG$13),15-13*ORÇAMENTO!$AF$7)*OFFSET(ORÇAMENTO!$W$15,ROW(AG108)-ROW(AG$15),0),15-13*ORÇAMENTO!$AF$11)),0)</f>
        <v>0</v>
      </c>
      <c r="AH108" s="545">
        <f ca="1">IF(AND($D108="Serviço",AH$12&lt;&gt;0,$H108&gt;0,OR(AUTOEVENTO&lt;&gt;"manual",$M108&lt;&gt;1)),
IF(Import.TipoArredondamento&lt;&gt;"TransfereGOV",
ROUND(OFFSET($P108,0,AH$13),15-13*ORÇAMENTO!$AF$7)/$H108*OFFSET(ORÇAMENTO!$X$15,ROW(AH108)-ROW(AH$15),0),
ROUND(ROUND(OFFSET($P108,0,AH$13),15-13*ORÇAMENTO!$AF$7)*OFFSET(ORÇAMENTO!$W$15,ROW(AH108)-ROW(AH$15),0),15-13*ORÇAMENTO!$AF$11)),0)</f>
        <v>0</v>
      </c>
      <c r="AI108" s="545">
        <f ca="1">IF(AND($D108="Serviço",AI$12&lt;&gt;0,$H108&gt;0,OR(AUTOEVENTO&lt;&gt;"manual",$M108&lt;&gt;1)),
IF(Import.TipoArredondamento&lt;&gt;"TransfereGOV",
ROUND(OFFSET($P108,0,AI$13),15-13*ORÇAMENTO!$AF$7)/$H108*OFFSET(ORÇAMENTO!$X$15,ROW(AI108)-ROW(AI$15),0),
ROUND(ROUND(OFFSET($P108,0,AI$13),15-13*ORÇAMENTO!$AF$7)*OFFSET(ORÇAMENTO!$W$15,ROW(AI108)-ROW(AI$15),0),15-13*ORÇAMENTO!$AF$11)),0)</f>
        <v>0</v>
      </c>
      <c r="AJ108" s="545">
        <f ca="1">IF(AND($D108="Serviço",AJ$12&lt;&gt;0,$H108&gt;0,OR(AUTOEVENTO&lt;&gt;"manual",$M108&lt;&gt;1)),
IF(Import.TipoArredondamento&lt;&gt;"TransfereGOV",
ROUND(OFFSET($P108,0,AJ$13),15-13*ORÇAMENTO!$AF$7)/$H108*OFFSET(ORÇAMENTO!$X$15,ROW(AJ108)-ROW(AJ$15),0),
ROUND(ROUND(OFFSET($P108,0,AJ$13),15-13*ORÇAMENTO!$AF$7)*OFFSET(ORÇAMENTO!$W$15,ROW(AJ108)-ROW(AJ$15),0),15-13*ORÇAMENTO!$AF$11)),0)</f>
        <v>0</v>
      </c>
      <c r="AK108" s="546">
        <f ca="1">IF(AND($D108="Serviço",AK$12&lt;&gt;0,$H108&gt;0,OR(AUTOEVENTO&lt;&gt;"manual",$M108&lt;&gt;1)),
IF(Import.TipoArredondamento&lt;&gt;"TransfereGOV",
ROUND(OFFSET($P108,0,AK$13),15-13*ORÇAMENTO!$AF$7)/$H108*OFFSET(ORÇAMENTO!$X$15,ROW(AK108)-ROW(AK$15),0),
ROUND(ROUND(OFFSET($P108,0,AK$13),15-13*ORÇAMENTO!$AF$7)*OFFSET(ORÇAMENTO!$W$15,ROW(AK108)-ROW(AK$15),0),15-13*ORÇAMENTO!$AF$11)),0)</f>
        <v>0</v>
      </c>
      <c r="AM108" s="181">
        <f ca="1">IF($D108&lt;&gt;"Serviço",0,IF(AND(AUTOEVENTO="Manual",$M108=1),0,IF(OFFSET(CRONOPLE!$F$14,$M108,AM$13)="",10^12,OFFSET(CRONOPLE!$F$14,$M108,AM$13))))</f>
        <v>1000000000000</v>
      </c>
      <c r="AN108" s="181">
        <f ca="1">IF($D108&lt;&gt;"Serviço",0,IF(AND(AUTOEVENTO="Manual",$M108=1),0,IF(OFFSET(CRONOPLE!$F$14,$M108,AN$13)="",10^12,OFFSET(CRONOPLE!$F$14,$M108,AN$13))))</f>
        <v>1000000000000</v>
      </c>
      <c r="AO108" s="181">
        <f ca="1">IF($D108&lt;&gt;"Serviço",0,IF(AND(AUTOEVENTO="Manual",$M108=1),0,IF(OFFSET(CRONOPLE!$F$14,$M108,AO$13)="",10^12,OFFSET(CRONOPLE!$F$14,$M108,AO$13))))</f>
        <v>1000000000000</v>
      </c>
      <c r="AP108" s="181">
        <f ca="1">IF($D108&lt;&gt;"Serviço",0,IF(AND(AUTOEVENTO="Manual",$M108=1),0,IF(OFFSET(CRONOPLE!$F$14,$M108,AP$13)="",10^12,OFFSET(CRONOPLE!$F$14,$M108,AP$13))))</f>
        <v>1000000000000</v>
      </c>
      <c r="AQ108" s="181">
        <f ca="1">IF($D108&lt;&gt;"Serviço",0,IF(AND(AUTOEVENTO="Manual",$M108=1),0,IF(OFFSET(CRONOPLE!$F$14,$M108,AQ$13)="",10^12,OFFSET(CRONOPLE!$F$14,$M108,AQ$13))))</f>
        <v>1000000000000</v>
      </c>
      <c r="AR108" s="181">
        <f ca="1">IF($D108&lt;&gt;"Serviço",0,IF(AND(AUTOEVENTO="Manual",$M108=1),0,IF(OFFSET(CRONOPLE!$F$14,$M108,AR$13)="",10^12,OFFSET(CRONOPLE!$F$14,$M108,AR$13))))</f>
        <v>1000000000000</v>
      </c>
      <c r="AS108" s="181">
        <f ca="1">IF($D108&lt;&gt;"Serviço",0,IF(AND(AUTOEVENTO="Manual",$M108=1),0,IF(OFFSET(CRONOPLE!$F$14,$M108,AS$13)="",10^12,OFFSET(CRONOPLE!$F$14,$M108,AS$13))))</f>
        <v>1000000000000</v>
      </c>
      <c r="AT108" s="181">
        <f ca="1">IF($D108&lt;&gt;"Serviço",0,IF(AND(AUTOEVENTO="Manual",$M108=1),0,IF(OFFSET(CRONOPLE!$F$14,$M108,AT$13)="",10^12,OFFSET(CRONOPLE!$F$14,$M108,AT$13))))</f>
        <v>1000000000000</v>
      </c>
      <c r="AU108" s="181">
        <f ca="1">IF($D108&lt;&gt;"Serviço",0,IF(AND(AUTOEVENTO="Manual",$M108=1),0,IF(OFFSET(CRONOPLE!$F$14,$M108,AU$13)="",10^12,OFFSET(CRONOPLE!$F$14,$M108,AU$13))))</f>
        <v>1000000000000</v>
      </c>
      <c r="AV108" s="181">
        <f ca="1">IF($D108&lt;&gt;"Serviço",0,IF(AND(AUTOEVENTO="Manual",$M108=1),0,IF(OFFSET(CRONOPLE!$F$14,$M108,AV$13)="",10^12,OFFSET(CRONOPLE!$F$14,$M108,AV$13))))</f>
        <v>1000000000000</v>
      </c>
      <c r="AX108" s="182">
        <f ca="1">IF($D108&lt;&gt;"Serviço",0,IF(OR(AND(AUTOEVENTO="Manual",$M108=1),$M108&gt;(ROW(PLE.lastrow)-ROW(PLE.firstrow))),0,IF(OFFSET(PLE!$G$14,$M108,AX$13)="",10^12,OFFSET(PLE!$G$14,$M108,AX$13))))</f>
        <v>1000000000000</v>
      </c>
      <c r="AY108" s="182">
        <f ca="1">IF($D108&lt;&gt;"Serviço",0,IF(OR(AND(AUTOEVENTO="Manual",$M108=1),$M108&gt;(ROW(PLE.lastrow)-ROW(PLE.firstrow))),0,IF(OFFSET(PLE!$G$14,$M108,AY$13)="",10^12,OFFSET(PLE!$G$14,$M108,AY$13))))</f>
        <v>1000000000000</v>
      </c>
      <c r="AZ108" s="182">
        <f ca="1">IF($D108&lt;&gt;"Serviço",0,IF(OR(AND(AUTOEVENTO="Manual",$M108=1),$M108&gt;(ROW(PLE.lastrow)-ROW(PLE.firstrow))),0,IF(OFFSET(PLE!$G$14,$M108,AZ$13)="",10^12,OFFSET(PLE!$G$14,$M108,AZ$13))))</f>
        <v>1000000000000</v>
      </c>
      <c r="BA108" s="182">
        <f ca="1">IF($D108&lt;&gt;"Serviço",0,IF(OR(AND(AUTOEVENTO="Manual",$M108=1),$M108&gt;(ROW(PLE.lastrow)-ROW(PLE.firstrow))),0,IF(OFFSET(PLE!$G$14,$M108,BA$13)="",10^12,OFFSET(PLE!$G$14,$M108,BA$13))))</f>
        <v>1000000000000</v>
      </c>
      <c r="BB108" s="182">
        <f ca="1">IF($D108&lt;&gt;"Serviço",0,IF(OR(AND(AUTOEVENTO="Manual",$M108=1),$M108&gt;(ROW(PLE.lastrow)-ROW(PLE.firstrow))),0,IF(OFFSET(PLE!$G$14,$M108,BB$13)="",10^12,OFFSET(PLE!$G$14,$M108,BB$13))))</f>
        <v>1000000000000</v>
      </c>
      <c r="BC108" s="182">
        <f ca="1">IF($D108&lt;&gt;"Serviço",0,IF(OR(AND(AUTOEVENTO="Manual",$M108=1),$M108&gt;(ROW(PLE.lastrow)-ROW(PLE.firstrow))),0,IF(OFFSET(PLE!$G$14,$M108,BC$13)="",10^12,OFFSET(PLE!$G$14,$M108,BC$13))))</f>
        <v>1000000000000</v>
      </c>
      <c r="BD108" s="182">
        <f ca="1">IF($D108&lt;&gt;"Serviço",0,IF(OR(AND(AUTOEVENTO="Manual",$M108=1),$M108&gt;(ROW(PLE.lastrow)-ROW(PLE.firstrow))),0,IF(OFFSET(PLE!$G$14,$M108,BD$13)="",10^12,OFFSET(PLE!$G$14,$M108,BD$13))))</f>
        <v>1000000000000</v>
      </c>
      <c r="BE108" s="182">
        <f ca="1">IF($D108&lt;&gt;"Serviço",0,IF(OR(AND(AUTOEVENTO="Manual",$M108=1),$M108&gt;(ROW(PLE.lastrow)-ROW(PLE.firstrow))),0,IF(OFFSET(PLE!$G$14,$M108,BE$13)="",10^12,OFFSET(PLE!$G$14,$M108,BE$13))))</f>
        <v>1000000000000</v>
      </c>
      <c r="BF108" s="182">
        <f ca="1">IF($D108&lt;&gt;"Serviço",0,IF(OR(AND(AUTOEVENTO="Manual",$M108=1),$M108&gt;(ROW(PLE.lastrow)-ROW(PLE.firstrow))),0,IF(OFFSET(PLE!$G$14,$M108,BF$13)="",10^12,OFFSET(PLE!$G$14,$M108,BF$13))))</f>
        <v>1000000000000</v>
      </c>
      <c r="BG108" s="182">
        <f ca="1">IF($D108&lt;&gt;"Serviço",0,IF(OR(AND(AUTOEVENTO="Manual",$M108=1),$M108&gt;(ROW(PLE.lastrow)-ROW(PLE.firstrow))),0,IF(OFFSET(PLE!$G$14,$M108,BG$13)="",10^12,OFFSET(PLE!$G$14,$M108,BG$13))))</f>
        <v>1000000000000</v>
      </c>
    </row>
    <row r="109" spans="1:59" ht="38.25" x14ac:dyDescent="0.2">
      <c r="A109" s="7" t="str">
        <f t="shared" ca="1" si="8"/>
        <v>83</v>
      </c>
      <c r="B109" s="7" t="str">
        <f ca="1">OFFSET(ORÇAMENTO!C$15,ROW(B109)-ROW(B$15),0)</f>
        <v>S</v>
      </c>
      <c r="C109" s="7" t="str">
        <f ca="1">OFFSET(ORÇAMENTO!L$15,ROW(C109)-ROW(C$15),0)</f>
        <v>F</v>
      </c>
      <c r="D109" s="118" t="str">
        <f ca="1">OFFSET(ORÇAMENTO!N$15,ROW(D109)-ROW(D$15),0)</f>
        <v>Serviço</v>
      </c>
      <c r="E109" s="119" t="str">
        <f ca="1">OFFSET(ORÇAMENTO!O$15,ROW(E109)-ROW(E$15),0)</f>
        <v>6.3.11.</v>
      </c>
      <c r="F109" s="172" t="str">
        <f ca="1">OFFSET(ORÇAMENTO!R$15,ROW(F109)-ROW(F$15),0)</f>
        <v>TUBO PVC, SERIE NORMAL, ESGOTO PREDIAL, DN 100 MM, FORNECIDO E INSTALADO EM RAMAL DE DESCARGA OU RAMAL DE ESGOTO SANITÁRIO. AF_08/2022</v>
      </c>
      <c r="G109" s="173" t="str">
        <f ca="1">IF($D109&lt;&gt;"Serviço","",OFFSET(ORÇAMENTO!S$15,ROW(G109)-ROW(G$15),0))</f>
        <v>M</v>
      </c>
      <c r="H109" s="124">
        <f ca="1">IF($D109&lt;&gt;"Serviço",0,IF(ACOMPANHAMENTO="BM",ROUND(OFFSET(ORÇAMENTO!AJ$15,ROW(H109)-ROW(H$15),0),15-13*ORÇAMENTO!$AF$7),SUMPRODUCT(($Q$12:$AA$12&lt;&gt;"")*ROUND($Q109:$AA109,15-13*ORÇAMENTO!$AF$7))))</f>
        <v>40</v>
      </c>
      <c r="I109" s="561"/>
      <c r="K109" s="174"/>
      <c r="L109" s="175" t="s">
        <v>255</v>
      </c>
      <c r="M109" s="176">
        <f ca="1">IF($D109&lt;&gt;"Serviço","",IF(AUTOEVENTO="manual",$A109,IF(ISERROR(MATCH($A109,$A$15:OFFSET($A109,-1,0),0)),MAX($M$15:OFFSET(M109,-1,0))+1,INDEX($M$15:OFFSET(M109,-1,0),MATCH($A109,$A$15:OFFSET($A109,-1,0),0)))))</f>
        <v>16</v>
      </c>
      <c r="N109" s="177" t="str">
        <f ca="1">IF($D109&lt;&gt;"Serviço","",IF(AUTOEVENTO="Manual",IF($A109=0,"&lt;-- defina o número do agrupador",OFFSET(EVENTOS!$D$14,$A109,0)),OFFSET($F$15,$A109,0)))</f>
        <v xml:space="preserve">INSTALAÇÕES HIDROSSANITÁRIAS </v>
      </c>
      <c r="O109" s="178"/>
      <c r="Q109" s="178"/>
      <c r="R109" s="179"/>
      <c r="S109" s="179"/>
      <c r="T109" s="179"/>
      <c r="U109" s="179"/>
      <c r="V109" s="179"/>
      <c r="W109" s="179"/>
      <c r="X109" s="179"/>
      <c r="Y109" s="179"/>
      <c r="Z109" s="180"/>
      <c r="AB109" s="544">
        <f ca="1">IF(AND($D109="Serviço",AB$12&lt;&gt;0,$H109&gt;0,OR(AUTOEVENTO&lt;&gt;"manual",$M109&lt;&gt;1)),
IF(Import.TipoArredondamento&lt;&gt;"TransfereGOV",
ROUND(OFFSET($P109,0,AB$13),15-13*ORÇAMENTO!$AF$7)/$H109*OFFSET(ORÇAMENTO!$X$15,ROW(AB109)-ROW(AB$15),0),
ROUND(ROUND(OFFSET($P109,0,AB$13),15-13*ORÇAMENTO!$AF$7)*OFFSET(ORÇAMENTO!$W$15,ROW(AB109)-ROW(AB$15),0),15-13*ORÇAMENTO!$AF$11)),0)</f>
        <v>0</v>
      </c>
      <c r="AC109" s="545">
        <f ca="1">IF(AND($D109="Serviço",AC$12&lt;&gt;0,$H109&gt;0,OR(AUTOEVENTO&lt;&gt;"manual",$M109&lt;&gt;1)),
IF(Import.TipoArredondamento&lt;&gt;"TransfereGOV",
ROUND(OFFSET($P109,0,AC$13),15-13*ORÇAMENTO!$AF$7)/$H109*OFFSET(ORÇAMENTO!$X$15,ROW(AC109)-ROW(AC$15),0),
ROUND(ROUND(OFFSET($P109,0,AC$13),15-13*ORÇAMENTO!$AF$7)*OFFSET(ORÇAMENTO!$W$15,ROW(AC109)-ROW(AC$15),0),15-13*ORÇAMENTO!$AF$11)),0)</f>
        <v>0</v>
      </c>
      <c r="AD109" s="545">
        <f ca="1">IF(AND($D109="Serviço",AD$12&lt;&gt;0,$H109&gt;0,OR(AUTOEVENTO&lt;&gt;"manual",$M109&lt;&gt;1)),
IF(Import.TipoArredondamento&lt;&gt;"TransfereGOV",
ROUND(OFFSET($P109,0,AD$13),15-13*ORÇAMENTO!$AF$7)/$H109*OFFSET(ORÇAMENTO!$X$15,ROW(AD109)-ROW(AD$15),0),
ROUND(ROUND(OFFSET($P109,0,AD$13),15-13*ORÇAMENTO!$AF$7)*OFFSET(ORÇAMENTO!$W$15,ROW(AD109)-ROW(AD$15),0),15-13*ORÇAMENTO!$AF$11)),0)</f>
        <v>0</v>
      </c>
      <c r="AE109" s="545">
        <f ca="1">IF(AND($D109="Serviço",AE$12&lt;&gt;0,$H109&gt;0,OR(AUTOEVENTO&lt;&gt;"manual",$M109&lt;&gt;1)),
IF(Import.TipoArredondamento&lt;&gt;"TransfereGOV",
ROUND(OFFSET($P109,0,AE$13),15-13*ORÇAMENTO!$AF$7)/$H109*OFFSET(ORÇAMENTO!$X$15,ROW(AE109)-ROW(AE$15),0),
ROUND(ROUND(OFFSET($P109,0,AE$13),15-13*ORÇAMENTO!$AF$7)*OFFSET(ORÇAMENTO!$W$15,ROW(AE109)-ROW(AE$15),0),15-13*ORÇAMENTO!$AF$11)),0)</f>
        <v>0</v>
      </c>
      <c r="AF109" s="545">
        <f ca="1">IF(AND($D109="Serviço",AF$12&lt;&gt;0,$H109&gt;0,OR(AUTOEVENTO&lt;&gt;"manual",$M109&lt;&gt;1)),
IF(Import.TipoArredondamento&lt;&gt;"TransfereGOV",
ROUND(OFFSET($P109,0,AF$13),15-13*ORÇAMENTO!$AF$7)/$H109*OFFSET(ORÇAMENTO!$X$15,ROW(AF109)-ROW(AF$15),0),
ROUND(ROUND(OFFSET($P109,0,AF$13),15-13*ORÇAMENTO!$AF$7)*OFFSET(ORÇAMENTO!$W$15,ROW(AF109)-ROW(AF$15),0),15-13*ORÇAMENTO!$AF$11)),0)</f>
        <v>0</v>
      </c>
      <c r="AG109" s="545">
        <f ca="1">IF(AND($D109="Serviço",AG$12&lt;&gt;0,$H109&gt;0,OR(AUTOEVENTO&lt;&gt;"manual",$M109&lt;&gt;1)),
IF(Import.TipoArredondamento&lt;&gt;"TransfereGOV",
ROUND(OFFSET($P109,0,AG$13),15-13*ORÇAMENTO!$AF$7)/$H109*OFFSET(ORÇAMENTO!$X$15,ROW(AG109)-ROW(AG$15),0),
ROUND(ROUND(OFFSET($P109,0,AG$13),15-13*ORÇAMENTO!$AF$7)*OFFSET(ORÇAMENTO!$W$15,ROW(AG109)-ROW(AG$15),0),15-13*ORÇAMENTO!$AF$11)),0)</f>
        <v>0</v>
      </c>
      <c r="AH109" s="545">
        <f ca="1">IF(AND($D109="Serviço",AH$12&lt;&gt;0,$H109&gt;0,OR(AUTOEVENTO&lt;&gt;"manual",$M109&lt;&gt;1)),
IF(Import.TipoArredondamento&lt;&gt;"TransfereGOV",
ROUND(OFFSET($P109,0,AH$13),15-13*ORÇAMENTO!$AF$7)/$H109*OFFSET(ORÇAMENTO!$X$15,ROW(AH109)-ROW(AH$15),0),
ROUND(ROUND(OFFSET($P109,0,AH$13),15-13*ORÇAMENTO!$AF$7)*OFFSET(ORÇAMENTO!$W$15,ROW(AH109)-ROW(AH$15),0),15-13*ORÇAMENTO!$AF$11)),0)</f>
        <v>0</v>
      </c>
      <c r="AI109" s="545">
        <f ca="1">IF(AND($D109="Serviço",AI$12&lt;&gt;0,$H109&gt;0,OR(AUTOEVENTO&lt;&gt;"manual",$M109&lt;&gt;1)),
IF(Import.TipoArredondamento&lt;&gt;"TransfereGOV",
ROUND(OFFSET($P109,0,AI$13),15-13*ORÇAMENTO!$AF$7)/$H109*OFFSET(ORÇAMENTO!$X$15,ROW(AI109)-ROW(AI$15),0),
ROUND(ROUND(OFFSET($P109,0,AI$13),15-13*ORÇAMENTO!$AF$7)*OFFSET(ORÇAMENTO!$W$15,ROW(AI109)-ROW(AI$15),0),15-13*ORÇAMENTO!$AF$11)),0)</f>
        <v>0</v>
      </c>
      <c r="AJ109" s="545">
        <f ca="1">IF(AND($D109="Serviço",AJ$12&lt;&gt;0,$H109&gt;0,OR(AUTOEVENTO&lt;&gt;"manual",$M109&lt;&gt;1)),
IF(Import.TipoArredondamento&lt;&gt;"TransfereGOV",
ROUND(OFFSET($P109,0,AJ$13),15-13*ORÇAMENTO!$AF$7)/$H109*OFFSET(ORÇAMENTO!$X$15,ROW(AJ109)-ROW(AJ$15),0),
ROUND(ROUND(OFFSET($P109,0,AJ$13),15-13*ORÇAMENTO!$AF$7)*OFFSET(ORÇAMENTO!$W$15,ROW(AJ109)-ROW(AJ$15),0),15-13*ORÇAMENTO!$AF$11)),0)</f>
        <v>0</v>
      </c>
      <c r="AK109" s="546">
        <f ca="1">IF(AND($D109="Serviço",AK$12&lt;&gt;0,$H109&gt;0,OR(AUTOEVENTO&lt;&gt;"manual",$M109&lt;&gt;1)),
IF(Import.TipoArredondamento&lt;&gt;"TransfereGOV",
ROUND(OFFSET($P109,0,AK$13),15-13*ORÇAMENTO!$AF$7)/$H109*OFFSET(ORÇAMENTO!$X$15,ROW(AK109)-ROW(AK$15),0),
ROUND(ROUND(OFFSET($P109,0,AK$13),15-13*ORÇAMENTO!$AF$7)*OFFSET(ORÇAMENTO!$W$15,ROW(AK109)-ROW(AK$15),0),15-13*ORÇAMENTO!$AF$11)),0)</f>
        <v>0</v>
      </c>
      <c r="AM109" s="181">
        <f ca="1">IF($D109&lt;&gt;"Serviço",0,IF(AND(AUTOEVENTO="Manual",$M109=1),0,IF(OFFSET(CRONOPLE!$F$14,$M109,AM$13)="",10^12,OFFSET(CRONOPLE!$F$14,$M109,AM$13))))</f>
        <v>1000000000000</v>
      </c>
      <c r="AN109" s="181">
        <f ca="1">IF($D109&lt;&gt;"Serviço",0,IF(AND(AUTOEVENTO="Manual",$M109=1),0,IF(OFFSET(CRONOPLE!$F$14,$M109,AN$13)="",10^12,OFFSET(CRONOPLE!$F$14,$M109,AN$13))))</f>
        <v>1000000000000</v>
      </c>
      <c r="AO109" s="181">
        <f ca="1">IF($D109&lt;&gt;"Serviço",0,IF(AND(AUTOEVENTO="Manual",$M109=1),0,IF(OFFSET(CRONOPLE!$F$14,$M109,AO$13)="",10^12,OFFSET(CRONOPLE!$F$14,$M109,AO$13))))</f>
        <v>1000000000000</v>
      </c>
      <c r="AP109" s="181">
        <f ca="1">IF($D109&lt;&gt;"Serviço",0,IF(AND(AUTOEVENTO="Manual",$M109=1),0,IF(OFFSET(CRONOPLE!$F$14,$M109,AP$13)="",10^12,OFFSET(CRONOPLE!$F$14,$M109,AP$13))))</f>
        <v>1000000000000</v>
      </c>
      <c r="AQ109" s="181">
        <f ca="1">IF($D109&lt;&gt;"Serviço",0,IF(AND(AUTOEVENTO="Manual",$M109=1),0,IF(OFFSET(CRONOPLE!$F$14,$M109,AQ$13)="",10^12,OFFSET(CRONOPLE!$F$14,$M109,AQ$13))))</f>
        <v>1000000000000</v>
      </c>
      <c r="AR109" s="181">
        <f ca="1">IF($D109&lt;&gt;"Serviço",0,IF(AND(AUTOEVENTO="Manual",$M109=1),0,IF(OFFSET(CRONOPLE!$F$14,$M109,AR$13)="",10^12,OFFSET(CRONOPLE!$F$14,$M109,AR$13))))</f>
        <v>1000000000000</v>
      </c>
      <c r="AS109" s="181">
        <f ca="1">IF($D109&lt;&gt;"Serviço",0,IF(AND(AUTOEVENTO="Manual",$M109=1),0,IF(OFFSET(CRONOPLE!$F$14,$M109,AS$13)="",10^12,OFFSET(CRONOPLE!$F$14,$M109,AS$13))))</f>
        <v>1000000000000</v>
      </c>
      <c r="AT109" s="181">
        <f ca="1">IF($D109&lt;&gt;"Serviço",0,IF(AND(AUTOEVENTO="Manual",$M109=1),0,IF(OFFSET(CRONOPLE!$F$14,$M109,AT$13)="",10^12,OFFSET(CRONOPLE!$F$14,$M109,AT$13))))</f>
        <v>1000000000000</v>
      </c>
      <c r="AU109" s="181">
        <f ca="1">IF($D109&lt;&gt;"Serviço",0,IF(AND(AUTOEVENTO="Manual",$M109=1),0,IF(OFFSET(CRONOPLE!$F$14,$M109,AU$13)="",10^12,OFFSET(CRONOPLE!$F$14,$M109,AU$13))))</f>
        <v>1000000000000</v>
      </c>
      <c r="AV109" s="181">
        <f ca="1">IF($D109&lt;&gt;"Serviço",0,IF(AND(AUTOEVENTO="Manual",$M109=1),0,IF(OFFSET(CRONOPLE!$F$14,$M109,AV$13)="",10^12,OFFSET(CRONOPLE!$F$14,$M109,AV$13))))</f>
        <v>1000000000000</v>
      </c>
      <c r="AX109" s="182">
        <f ca="1">IF($D109&lt;&gt;"Serviço",0,IF(OR(AND(AUTOEVENTO="Manual",$M109=1),$M109&gt;(ROW(PLE.lastrow)-ROW(PLE.firstrow))),0,IF(OFFSET(PLE!$G$14,$M109,AX$13)="",10^12,OFFSET(PLE!$G$14,$M109,AX$13))))</f>
        <v>1000000000000</v>
      </c>
      <c r="AY109" s="182">
        <f ca="1">IF($D109&lt;&gt;"Serviço",0,IF(OR(AND(AUTOEVENTO="Manual",$M109=1),$M109&gt;(ROW(PLE.lastrow)-ROW(PLE.firstrow))),0,IF(OFFSET(PLE!$G$14,$M109,AY$13)="",10^12,OFFSET(PLE!$G$14,$M109,AY$13))))</f>
        <v>1000000000000</v>
      </c>
      <c r="AZ109" s="182">
        <f ca="1">IF($D109&lt;&gt;"Serviço",0,IF(OR(AND(AUTOEVENTO="Manual",$M109=1),$M109&gt;(ROW(PLE.lastrow)-ROW(PLE.firstrow))),0,IF(OFFSET(PLE!$G$14,$M109,AZ$13)="",10^12,OFFSET(PLE!$G$14,$M109,AZ$13))))</f>
        <v>1000000000000</v>
      </c>
      <c r="BA109" s="182">
        <f ca="1">IF($D109&lt;&gt;"Serviço",0,IF(OR(AND(AUTOEVENTO="Manual",$M109=1),$M109&gt;(ROW(PLE.lastrow)-ROW(PLE.firstrow))),0,IF(OFFSET(PLE!$G$14,$M109,BA$13)="",10^12,OFFSET(PLE!$G$14,$M109,BA$13))))</f>
        <v>1000000000000</v>
      </c>
      <c r="BB109" s="182">
        <f ca="1">IF($D109&lt;&gt;"Serviço",0,IF(OR(AND(AUTOEVENTO="Manual",$M109=1),$M109&gt;(ROW(PLE.lastrow)-ROW(PLE.firstrow))),0,IF(OFFSET(PLE!$G$14,$M109,BB$13)="",10^12,OFFSET(PLE!$G$14,$M109,BB$13))))</f>
        <v>1000000000000</v>
      </c>
      <c r="BC109" s="182">
        <f ca="1">IF($D109&lt;&gt;"Serviço",0,IF(OR(AND(AUTOEVENTO="Manual",$M109=1),$M109&gt;(ROW(PLE.lastrow)-ROW(PLE.firstrow))),0,IF(OFFSET(PLE!$G$14,$M109,BC$13)="",10^12,OFFSET(PLE!$G$14,$M109,BC$13))))</f>
        <v>1000000000000</v>
      </c>
      <c r="BD109" s="182">
        <f ca="1">IF($D109&lt;&gt;"Serviço",0,IF(OR(AND(AUTOEVENTO="Manual",$M109=1),$M109&gt;(ROW(PLE.lastrow)-ROW(PLE.firstrow))),0,IF(OFFSET(PLE!$G$14,$M109,BD$13)="",10^12,OFFSET(PLE!$G$14,$M109,BD$13))))</f>
        <v>1000000000000</v>
      </c>
      <c r="BE109" s="182">
        <f ca="1">IF($D109&lt;&gt;"Serviço",0,IF(OR(AND(AUTOEVENTO="Manual",$M109=1),$M109&gt;(ROW(PLE.lastrow)-ROW(PLE.firstrow))),0,IF(OFFSET(PLE!$G$14,$M109,BE$13)="",10^12,OFFSET(PLE!$G$14,$M109,BE$13))))</f>
        <v>1000000000000</v>
      </c>
      <c r="BF109" s="182">
        <f ca="1">IF($D109&lt;&gt;"Serviço",0,IF(OR(AND(AUTOEVENTO="Manual",$M109=1),$M109&gt;(ROW(PLE.lastrow)-ROW(PLE.firstrow))),0,IF(OFFSET(PLE!$G$14,$M109,BF$13)="",10^12,OFFSET(PLE!$G$14,$M109,BF$13))))</f>
        <v>1000000000000</v>
      </c>
      <c r="BG109" s="182">
        <f ca="1">IF($D109&lt;&gt;"Serviço",0,IF(OR(AND(AUTOEVENTO="Manual",$M109=1),$M109&gt;(ROW(PLE.lastrow)-ROW(PLE.firstrow))),0,IF(OFFSET(PLE!$G$14,$M109,BG$13)="",10^12,OFFSET(PLE!$G$14,$M109,BG$13))))</f>
        <v>1000000000000</v>
      </c>
    </row>
    <row r="110" spans="1:59" ht="38.25" x14ac:dyDescent="0.2">
      <c r="A110" s="7" t="str">
        <f t="shared" ca="1" si="8"/>
        <v>83</v>
      </c>
      <c r="B110" s="7" t="str">
        <f ca="1">OFFSET(ORÇAMENTO!C$15,ROW(B110)-ROW(B$15),0)</f>
        <v>S</v>
      </c>
      <c r="C110" s="7" t="str">
        <f ca="1">OFFSET(ORÇAMENTO!L$15,ROW(C110)-ROW(C$15),0)</f>
        <v>F</v>
      </c>
      <c r="D110" s="118" t="str">
        <f ca="1">OFFSET(ORÇAMENTO!N$15,ROW(D110)-ROW(D$15),0)</f>
        <v>Serviço</v>
      </c>
      <c r="E110" s="119" t="str">
        <f ca="1">OFFSET(ORÇAMENTO!O$15,ROW(E110)-ROW(E$15),0)</f>
        <v>6.3.12.</v>
      </c>
      <c r="F110" s="172" t="str">
        <f ca="1">OFFSET(ORÇAMENTO!R$15,ROW(F110)-ROW(F$15),0)</f>
        <v>CAIXA SIFONADA, PVC, DN 100 X 100 X 50 MM, JUNTA ELÁSTICA, FORNECIDA E INSTALADA EM RAMAL DE DESCARGA OU EM RAMAL DE ESGOTO SANITÁRIO. AF_08/2022</v>
      </c>
      <c r="G110" s="173" t="str">
        <f ca="1">IF($D110&lt;&gt;"Serviço","",OFFSET(ORÇAMENTO!S$15,ROW(G110)-ROW(G$15),0))</f>
        <v>UN</v>
      </c>
      <c r="H110" s="124">
        <f ca="1">IF($D110&lt;&gt;"Serviço",0,IF(ACOMPANHAMENTO="BM",ROUND(OFFSET(ORÇAMENTO!AJ$15,ROW(H110)-ROW(H$15),0),15-13*ORÇAMENTO!$AF$7),SUMPRODUCT(($Q$12:$AA$12&lt;&gt;"")*ROUND($Q110:$AA110,15-13*ORÇAMENTO!$AF$7))))</f>
        <v>7</v>
      </c>
      <c r="I110" s="561"/>
      <c r="K110" s="174"/>
      <c r="L110" s="175" t="s">
        <v>255</v>
      </c>
      <c r="M110" s="176">
        <f ca="1">IF($D110&lt;&gt;"Serviço","",IF(AUTOEVENTO="manual",$A110,IF(ISERROR(MATCH($A110,$A$15:OFFSET($A110,-1,0),0)),MAX($M$15:OFFSET(M110,-1,0))+1,INDEX($M$15:OFFSET(M110,-1,0),MATCH($A110,$A$15:OFFSET($A110,-1,0),0)))))</f>
        <v>16</v>
      </c>
      <c r="N110" s="177" t="str">
        <f ca="1">IF($D110&lt;&gt;"Serviço","",IF(AUTOEVENTO="Manual",IF($A110=0,"&lt;-- defina o número do agrupador",OFFSET(EVENTOS!$D$14,$A110,0)),OFFSET($F$15,$A110,0)))</f>
        <v xml:space="preserve">INSTALAÇÕES HIDROSSANITÁRIAS </v>
      </c>
      <c r="O110" s="178"/>
      <c r="Q110" s="178"/>
      <c r="R110" s="179"/>
      <c r="S110" s="179"/>
      <c r="T110" s="179"/>
      <c r="U110" s="179"/>
      <c r="V110" s="179"/>
      <c r="W110" s="179"/>
      <c r="X110" s="179"/>
      <c r="Y110" s="179"/>
      <c r="Z110" s="180"/>
      <c r="AB110" s="544">
        <f ca="1">IF(AND($D110="Serviço",AB$12&lt;&gt;0,$H110&gt;0,OR(AUTOEVENTO&lt;&gt;"manual",$M110&lt;&gt;1)),
IF(Import.TipoArredondamento&lt;&gt;"TransfereGOV",
ROUND(OFFSET($P110,0,AB$13),15-13*ORÇAMENTO!$AF$7)/$H110*OFFSET(ORÇAMENTO!$X$15,ROW(AB110)-ROW(AB$15),0),
ROUND(ROUND(OFFSET($P110,0,AB$13),15-13*ORÇAMENTO!$AF$7)*OFFSET(ORÇAMENTO!$W$15,ROW(AB110)-ROW(AB$15),0),15-13*ORÇAMENTO!$AF$11)),0)</f>
        <v>0</v>
      </c>
      <c r="AC110" s="545">
        <f ca="1">IF(AND($D110="Serviço",AC$12&lt;&gt;0,$H110&gt;0,OR(AUTOEVENTO&lt;&gt;"manual",$M110&lt;&gt;1)),
IF(Import.TipoArredondamento&lt;&gt;"TransfereGOV",
ROUND(OFFSET($P110,0,AC$13),15-13*ORÇAMENTO!$AF$7)/$H110*OFFSET(ORÇAMENTO!$X$15,ROW(AC110)-ROW(AC$15),0),
ROUND(ROUND(OFFSET($P110,0,AC$13),15-13*ORÇAMENTO!$AF$7)*OFFSET(ORÇAMENTO!$W$15,ROW(AC110)-ROW(AC$15),0),15-13*ORÇAMENTO!$AF$11)),0)</f>
        <v>0</v>
      </c>
      <c r="AD110" s="545">
        <f ca="1">IF(AND($D110="Serviço",AD$12&lt;&gt;0,$H110&gt;0,OR(AUTOEVENTO&lt;&gt;"manual",$M110&lt;&gt;1)),
IF(Import.TipoArredondamento&lt;&gt;"TransfereGOV",
ROUND(OFFSET($P110,0,AD$13),15-13*ORÇAMENTO!$AF$7)/$H110*OFFSET(ORÇAMENTO!$X$15,ROW(AD110)-ROW(AD$15),0),
ROUND(ROUND(OFFSET($P110,0,AD$13),15-13*ORÇAMENTO!$AF$7)*OFFSET(ORÇAMENTO!$W$15,ROW(AD110)-ROW(AD$15),0),15-13*ORÇAMENTO!$AF$11)),0)</f>
        <v>0</v>
      </c>
      <c r="AE110" s="545">
        <f ca="1">IF(AND($D110="Serviço",AE$12&lt;&gt;0,$H110&gt;0,OR(AUTOEVENTO&lt;&gt;"manual",$M110&lt;&gt;1)),
IF(Import.TipoArredondamento&lt;&gt;"TransfereGOV",
ROUND(OFFSET($P110,0,AE$13),15-13*ORÇAMENTO!$AF$7)/$H110*OFFSET(ORÇAMENTO!$X$15,ROW(AE110)-ROW(AE$15),0),
ROUND(ROUND(OFFSET($P110,0,AE$13),15-13*ORÇAMENTO!$AF$7)*OFFSET(ORÇAMENTO!$W$15,ROW(AE110)-ROW(AE$15),0),15-13*ORÇAMENTO!$AF$11)),0)</f>
        <v>0</v>
      </c>
      <c r="AF110" s="545">
        <f ca="1">IF(AND($D110="Serviço",AF$12&lt;&gt;0,$H110&gt;0,OR(AUTOEVENTO&lt;&gt;"manual",$M110&lt;&gt;1)),
IF(Import.TipoArredondamento&lt;&gt;"TransfereGOV",
ROUND(OFFSET($P110,0,AF$13),15-13*ORÇAMENTO!$AF$7)/$H110*OFFSET(ORÇAMENTO!$X$15,ROW(AF110)-ROW(AF$15),0),
ROUND(ROUND(OFFSET($P110,0,AF$13),15-13*ORÇAMENTO!$AF$7)*OFFSET(ORÇAMENTO!$W$15,ROW(AF110)-ROW(AF$15),0),15-13*ORÇAMENTO!$AF$11)),0)</f>
        <v>0</v>
      </c>
      <c r="AG110" s="545">
        <f ca="1">IF(AND($D110="Serviço",AG$12&lt;&gt;0,$H110&gt;0,OR(AUTOEVENTO&lt;&gt;"manual",$M110&lt;&gt;1)),
IF(Import.TipoArredondamento&lt;&gt;"TransfereGOV",
ROUND(OFFSET($P110,0,AG$13),15-13*ORÇAMENTO!$AF$7)/$H110*OFFSET(ORÇAMENTO!$X$15,ROW(AG110)-ROW(AG$15),0),
ROUND(ROUND(OFFSET($P110,0,AG$13),15-13*ORÇAMENTO!$AF$7)*OFFSET(ORÇAMENTO!$W$15,ROW(AG110)-ROW(AG$15),0),15-13*ORÇAMENTO!$AF$11)),0)</f>
        <v>0</v>
      </c>
      <c r="AH110" s="545">
        <f ca="1">IF(AND($D110="Serviço",AH$12&lt;&gt;0,$H110&gt;0,OR(AUTOEVENTO&lt;&gt;"manual",$M110&lt;&gt;1)),
IF(Import.TipoArredondamento&lt;&gt;"TransfereGOV",
ROUND(OFFSET($P110,0,AH$13),15-13*ORÇAMENTO!$AF$7)/$H110*OFFSET(ORÇAMENTO!$X$15,ROW(AH110)-ROW(AH$15),0),
ROUND(ROUND(OFFSET($P110,0,AH$13),15-13*ORÇAMENTO!$AF$7)*OFFSET(ORÇAMENTO!$W$15,ROW(AH110)-ROW(AH$15),0),15-13*ORÇAMENTO!$AF$11)),0)</f>
        <v>0</v>
      </c>
      <c r="AI110" s="545">
        <f ca="1">IF(AND($D110="Serviço",AI$12&lt;&gt;0,$H110&gt;0,OR(AUTOEVENTO&lt;&gt;"manual",$M110&lt;&gt;1)),
IF(Import.TipoArredondamento&lt;&gt;"TransfereGOV",
ROUND(OFFSET($P110,0,AI$13),15-13*ORÇAMENTO!$AF$7)/$H110*OFFSET(ORÇAMENTO!$X$15,ROW(AI110)-ROW(AI$15),0),
ROUND(ROUND(OFFSET($P110,0,AI$13),15-13*ORÇAMENTO!$AF$7)*OFFSET(ORÇAMENTO!$W$15,ROW(AI110)-ROW(AI$15),0),15-13*ORÇAMENTO!$AF$11)),0)</f>
        <v>0</v>
      </c>
      <c r="AJ110" s="545">
        <f ca="1">IF(AND($D110="Serviço",AJ$12&lt;&gt;0,$H110&gt;0,OR(AUTOEVENTO&lt;&gt;"manual",$M110&lt;&gt;1)),
IF(Import.TipoArredondamento&lt;&gt;"TransfereGOV",
ROUND(OFFSET($P110,0,AJ$13),15-13*ORÇAMENTO!$AF$7)/$H110*OFFSET(ORÇAMENTO!$X$15,ROW(AJ110)-ROW(AJ$15),0),
ROUND(ROUND(OFFSET($P110,0,AJ$13),15-13*ORÇAMENTO!$AF$7)*OFFSET(ORÇAMENTO!$W$15,ROW(AJ110)-ROW(AJ$15),0),15-13*ORÇAMENTO!$AF$11)),0)</f>
        <v>0</v>
      </c>
      <c r="AK110" s="546">
        <f ca="1">IF(AND($D110="Serviço",AK$12&lt;&gt;0,$H110&gt;0,OR(AUTOEVENTO&lt;&gt;"manual",$M110&lt;&gt;1)),
IF(Import.TipoArredondamento&lt;&gt;"TransfereGOV",
ROUND(OFFSET($P110,0,AK$13),15-13*ORÇAMENTO!$AF$7)/$H110*OFFSET(ORÇAMENTO!$X$15,ROW(AK110)-ROW(AK$15),0),
ROUND(ROUND(OFFSET($P110,0,AK$13),15-13*ORÇAMENTO!$AF$7)*OFFSET(ORÇAMENTO!$W$15,ROW(AK110)-ROW(AK$15),0),15-13*ORÇAMENTO!$AF$11)),0)</f>
        <v>0</v>
      </c>
      <c r="AM110" s="181">
        <f ca="1">IF($D110&lt;&gt;"Serviço",0,IF(AND(AUTOEVENTO="Manual",$M110=1),0,IF(OFFSET(CRONOPLE!$F$14,$M110,AM$13)="",10^12,OFFSET(CRONOPLE!$F$14,$M110,AM$13))))</f>
        <v>1000000000000</v>
      </c>
      <c r="AN110" s="181">
        <f ca="1">IF($D110&lt;&gt;"Serviço",0,IF(AND(AUTOEVENTO="Manual",$M110=1),0,IF(OFFSET(CRONOPLE!$F$14,$M110,AN$13)="",10^12,OFFSET(CRONOPLE!$F$14,$M110,AN$13))))</f>
        <v>1000000000000</v>
      </c>
      <c r="AO110" s="181">
        <f ca="1">IF($D110&lt;&gt;"Serviço",0,IF(AND(AUTOEVENTO="Manual",$M110=1),0,IF(OFFSET(CRONOPLE!$F$14,$M110,AO$13)="",10^12,OFFSET(CRONOPLE!$F$14,$M110,AO$13))))</f>
        <v>1000000000000</v>
      </c>
      <c r="AP110" s="181">
        <f ca="1">IF($D110&lt;&gt;"Serviço",0,IF(AND(AUTOEVENTO="Manual",$M110=1),0,IF(OFFSET(CRONOPLE!$F$14,$M110,AP$13)="",10^12,OFFSET(CRONOPLE!$F$14,$M110,AP$13))))</f>
        <v>1000000000000</v>
      </c>
      <c r="AQ110" s="181">
        <f ca="1">IF($D110&lt;&gt;"Serviço",0,IF(AND(AUTOEVENTO="Manual",$M110=1),0,IF(OFFSET(CRONOPLE!$F$14,$M110,AQ$13)="",10^12,OFFSET(CRONOPLE!$F$14,$M110,AQ$13))))</f>
        <v>1000000000000</v>
      </c>
      <c r="AR110" s="181">
        <f ca="1">IF($D110&lt;&gt;"Serviço",0,IF(AND(AUTOEVENTO="Manual",$M110=1),0,IF(OFFSET(CRONOPLE!$F$14,$M110,AR$13)="",10^12,OFFSET(CRONOPLE!$F$14,$M110,AR$13))))</f>
        <v>1000000000000</v>
      </c>
      <c r="AS110" s="181">
        <f ca="1">IF($D110&lt;&gt;"Serviço",0,IF(AND(AUTOEVENTO="Manual",$M110=1),0,IF(OFFSET(CRONOPLE!$F$14,$M110,AS$13)="",10^12,OFFSET(CRONOPLE!$F$14,$M110,AS$13))))</f>
        <v>1000000000000</v>
      </c>
      <c r="AT110" s="181">
        <f ca="1">IF($D110&lt;&gt;"Serviço",0,IF(AND(AUTOEVENTO="Manual",$M110=1),0,IF(OFFSET(CRONOPLE!$F$14,$M110,AT$13)="",10^12,OFFSET(CRONOPLE!$F$14,$M110,AT$13))))</f>
        <v>1000000000000</v>
      </c>
      <c r="AU110" s="181">
        <f ca="1">IF($D110&lt;&gt;"Serviço",0,IF(AND(AUTOEVENTO="Manual",$M110=1),0,IF(OFFSET(CRONOPLE!$F$14,$M110,AU$13)="",10^12,OFFSET(CRONOPLE!$F$14,$M110,AU$13))))</f>
        <v>1000000000000</v>
      </c>
      <c r="AV110" s="181">
        <f ca="1">IF($D110&lt;&gt;"Serviço",0,IF(AND(AUTOEVENTO="Manual",$M110=1),0,IF(OFFSET(CRONOPLE!$F$14,$M110,AV$13)="",10^12,OFFSET(CRONOPLE!$F$14,$M110,AV$13))))</f>
        <v>1000000000000</v>
      </c>
      <c r="AX110" s="182">
        <f ca="1">IF($D110&lt;&gt;"Serviço",0,IF(OR(AND(AUTOEVENTO="Manual",$M110=1),$M110&gt;(ROW(PLE.lastrow)-ROW(PLE.firstrow))),0,IF(OFFSET(PLE!$G$14,$M110,AX$13)="",10^12,OFFSET(PLE!$G$14,$M110,AX$13))))</f>
        <v>1000000000000</v>
      </c>
      <c r="AY110" s="182">
        <f ca="1">IF($D110&lt;&gt;"Serviço",0,IF(OR(AND(AUTOEVENTO="Manual",$M110=1),$M110&gt;(ROW(PLE.lastrow)-ROW(PLE.firstrow))),0,IF(OFFSET(PLE!$G$14,$M110,AY$13)="",10^12,OFFSET(PLE!$G$14,$M110,AY$13))))</f>
        <v>1000000000000</v>
      </c>
      <c r="AZ110" s="182">
        <f ca="1">IF($D110&lt;&gt;"Serviço",0,IF(OR(AND(AUTOEVENTO="Manual",$M110=1),$M110&gt;(ROW(PLE.lastrow)-ROW(PLE.firstrow))),0,IF(OFFSET(PLE!$G$14,$M110,AZ$13)="",10^12,OFFSET(PLE!$G$14,$M110,AZ$13))))</f>
        <v>1000000000000</v>
      </c>
      <c r="BA110" s="182">
        <f ca="1">IF($D110&lt;&gt;"Serviço",0,IF(OR(AND(AUTOEVENTO="Manual",$M110=1),$M110&gt;(ROW(PLE.lastrow)-ROW(PLE.firstrow))),0,IF(OFFSET(PLE!$G$14,$M110,BA$13)="",10^12,OFFSET(PLE!$G$14,$M110,BA$13))))</f>
        <v>1000000000000</v>
      </c>
      <c r="BB110" s="182">
        <f ca="1">IF($D110&lt;&gt;"Serviço",0,IF(OR(AND(AUTOEVENTO="Manual",$M110=1),$M110&gt;(ROW(PLE.lastrow)-ROW(PLE.firstrow))),0,IF(OFFSET(PLE!$G$14,$M110,BB$13)="",10^12,OFFSET(PLE!$G$14,$M110,BB$13))))</f>
        <v>1000000000000</v>
      </c>
      <c r="BC110" s="182">
        <f ca="1">IF($D110&lt;&gt;"Serviço",0,IF(OR(AND(AUTOEVENTO="Manual",$M110=1),$M110&gt;(ROW(PLE.lastrow)-ROW(PLE.firstrow))),0,IF(OFFSET(PLE!$G$14,$M110,BC$13)="",10^12,OFFSET(PLE!$G$14,$M110,BC$13))))</f>
        <v>1000000000000</v>
      </c>
      <c r="BD110" s="182">
        <f ca="1">IF($D110&lt;&gt;"Serviço",0,IF(OR(AND(AUTOEVENTO="Manual",$M110=1),$M110&gt;(ROW(PLE.lastrow)-ROW(PLE.firstrow))),0,IF(OFFSET(PLE!$G$14,$M110,BD$13)="",10^12,OFFSET(PLE!$G$14,$M110,BD$13))))</f>
        <v>1000000000000</v>
      </c>
      <c r="BE110" s="182">
        <f ca="1">IF($D110&lt;&gt;"Serviço",0,IF(OR(AND(AUTOEVENTO="Manual",$M110=1),$M110&gt;(ROW(PLE.lastrow)-ROW(PLE.firstrow))),0,IF(OFFSET(PLE!$G$14,$M110,BE$13)="",10^12,OFFSET(PLE!$G$14,$M110,BE$13))))</f>
        <v>1000000000000</v>
      </c>
      <c r="BF110" s="182">
        <f ca="1">IF($D110&lt;&gt;"Serviço",0,IF(OR(AND(AUTOEVENTO="Manual",$M110=1),$M110&gt;(ROW(PLE.lastrow)-ROW(PLE.firstrow))),0,IF(OFFSET(PLE!$G$14,$M110,BF$13)="",10^12,OFFSET(PLE!$G$14,$M110,BF$13))))</f>
        <v>1000000000000</v>
      </c>
      <c r="BG110" s="182">
        <f ca="1">IF($D110&lt;&gt;"Serviço",0,IF(OR(AND(AUTOEVENTO="Manual",$M110=1),$M110&gt;(ROW(PLE.lastrow)-ROW(PLE.firstrow))),0,IF(OFFSET(PLE!$G$14,$M110,BG$13)="",10^12,OFFSET(PLE!$G$14,$M110,BG$13))))</f>
        <v>1000000000000</v>
      </c>
    </row>
    <row r="111" spans="1:59" ht="38.25" x14ac:dyDescent="0.2">
      <c r="A111" s="7" t="str">
        <f ca="1">IF(AUTOEVENTO="Manual",IF(K111&lt;&gt;"",MIN(VALUE(LEFT(K111,FIND(".",K111)-1)),COUNTA(EVENTOS.Lista)),0),IF(OR($B111&gt;AUTOEVENTO,$B111="S",$B111=0),SUBSTITUTE(OFFSET($A111,-1,0),IF($D111="Serviço",".",""),""),ROW(A111)-ROW($A$15)&amp;"."))</f>
        <v>83</v>
      </c>
      <c r="B111" s="7" t="str">
        <f ca="1">OFFSET(ORÇAMENTO!C$15,ROW(B111)-ROW(B$15),0)</f>
        <v>S</v>
      </c>
      <c r="C111" s="7" t="str">
        <f ca="1">OFFSET(ORÇAMENTO!L$15,ROW(C111)-ROW(C$15),0)</f>
        <v>F</v>
      </c>
      <c r="D111" s="118" t="str">
        <f ca="1">OFFSET(ORÇAMENTO!N$15,ROW(D111)-ROW(D$15),0)</f>
        <v>Serviço</v>
      </c>
      <c r="E111" s="119" t="str">
        <f ca="1">OFFSET(ORÇAMENTO!O$15,ROW(E111)-ROW(E$15),0)</f>
        <v>6.3.13.</v>
      </c>
      <c r="F111" s="172" t="str">
        <f ca="1">OFFSET(ORÇAMENTO!R$15,ROW(F111)-ROW(F$15),0)</f>
        <v>JOELHO 45 GRAUS, PVC, SERIE NORMAL, ESGOTO PREDIAL, DN 50 MM, JUNTA ELÁSTICA, FORNECIDO E INSTALADO EM RAMAL DE DESCARGA OU RAMAL DE ESGOTO SANITÁRIO. AF_08/2022</v>
      </c>
      <c r="G111" s="173" t="str">
        <f ca="1">IF($D111&lt;&gt;"Serviço","",OFFSET(ORÇAMENTO!S$15,ROW(G111)-ROW(G$15),0))</f>
        <v>UN</v>
      </c>
      <c r="H111" s="124">
        <f ca="1">IF($D111&lt;&gt;"Serviço",0,IF(ACOMPANHAMENTO="BM",ROUND(OFFSET(ORÇAMENTO!AJ$15,ROW(H111)-ROW(H$15),0),15-13*ORÇAMENTO!$AF$7),SUMPRODUCT(($Q$12:$AA$12&lt;&gt;"")*ROUND($Q111:$AA111,15-13*ORÇAMENTO!$AF$7))))</f>
        <v>5</v>
      </c>
      <c r="I111" s="561"/>
      <c r="K111" s="174"/>
      <c r="L111" s="175" t="s">
        <v>255</v>
      </c>
      <c r="M111" s="176">
        <f ca="1">IF($D111&lt;&gt;"Serviço","",IF(AUTOEVENTO="manual",$A111,IF(ISERROR(MATCH($A111,$A$15:OFFSET($A111,-1,0),0)),MAX($M$15:OFFSET(M111,-1,0))+1,INDEX($M$15:OFFSET(M111,-1,0),MATCH($A111,$A$15:OFFSET($A111,-1,0),0)))))</f>
        <v>16</v>
      </c>
      <c r="N111" s="177" t="str">
        <f ca="1">IF($D111&lt;&gt;"Serviço","",IF(AUTOEVENTO="Manual",IF($A111=0,"&lt;-- defina o número do agrupador",OFFSET(EVENTOS!$D$14,$A111,0)),OFFSET($F$15,$A111,0)))</f>
        <v xml:space="preserve">INSTALAÇÕES HIDROSSANITÁRIAS </v>
      </c>
      <c r="O111" s="178"/>
      <c r="Q111" s="178"/>
      <c r="R111" s="179"/>
      <c r="S111" s="179"/>
      <c r="T111" s="179"/>
      <c r="U111" s="179"/>
      <c r="V111" s="179"/>
      <c r="W111" s="179"/>
      <c r="X111" s="179"/>
      <c r="Y111" s="179"/>
      <c r="Z111" s="180"/>
      <c r="AB111" s="544">
        <f ca="1">IF(AND($D111="Serviço",AB$12&lt;&gt;0,$H111&gt;0,OR(AUTOEVENTO&lt;&gt;"manual",$M111&lt;&gt;1)),
IF(Import.TipoArredondamento&lt;&gt;"TransfereGOV",
ROUND(OFFSET($P111,0,AB$13),15-13*ORÇAMENTO!$AF$7)/$H111*OFFSET(ORÇAMENTO!$X$15,ROW(AB111)-ROW(AB$15),0),
ROUND(ROUND(OFFSET($P111,0,AB$13),15-13*ORÇAMENTO!$AF$7)*OFFSET(ORÇAMENTO!$W$15,ROW(AB111)-ROW(AB$15),0),15-13*ORÇAMENTO!$AF$11)),0)</f>
        <v>0</v>
      </c>
      <c r="AC111" s="545">
        <f ca="1">IF(AND($D111="Serviço",AC$12&lt;&gt;0,$H111&gt;0,OR(AUTOEVENTO&lt;&gt;"manual",$M111&lt;&gt;1)),
IF(Import.TipoArredondamento&lt;&gt;"TransfereGOV",
ROUND(OFFSET($P111,0,AC$13),15-13*ORÇAMENTO!$AF$7)/$H111*OFFSET(ORÇAMENTO!$X$15,ROW(AC111)-ROW(AC$15),0),
ROUND(ROUND(OFFSET($P111,0,AC$13),15-13*ORÇAMENTO!$AF$7)*OFFSET(ORÇAMENTO!$W$15,ROW(AC111)-ROW(AC$15),0),15-13*ORÇAMENTO!$AF$11)),0)</f>
        <v>0</v>
      </c>
      <c r="AD111" s="545">
        <f ca="1">IF(AND($D111="Serviço",AD$12&lt;&gt;0,$H111&gt;0,OR(AUTOEVENTO&lt;&gt;"manual",$M111&lt;&gt;1)),
IF(Import.TipoArredondamento&lt;&gt;"TransfereGOV",
ROUND(OFFSET($P111,0,AD$13),15-13*ORÇAMENTO!$AF$7)/$H111*OFFSET(ORÇAMENTO!$X$15,ROW(AD111)-ROW(AD$15),0),
ROUND(ROUND(OFFSET($P111,0,AD$13),15-13*ORÇAMENTO!$AF$7)*OFFSET(ORÇAMENTO!$W$15,ROW(AD111)-ROW(AD$15),0),15-13*ORÇAMENTO!$AF$11)),0)</f>
        <v>0</v>
      </c>
      <c r="AE111" s="545">
        <f ca="1">IF(AND($D111="Serviço",AE$12&lt;&gt;0,$H111&gt;0,OR(AUTOEVENTO&lt;&gt;"manual",$M111&lt;&gt;1)),
IF(Import.TipoArredondamento&lt;&gt;"TransfereGOV",
ROUND(OFFSET($P111,0,AE$13),15-13*ORÇAMENTO!$AF$7)/$H111*OFFSET(ORÇAMENTO!$X$15,ROW(AE111)-ROW(AE$15),0),
ROUND(ROUND(OFFSET($P111,0,AE$13),15-13*ORÇAMENTO!$AF$7)*OFFSET(ORÇAMENTO!$W$15,ROW(AE111)-ROW(AE$15),0),15-13*ORÇAMENTO!$AF$11)),0)</f>
        <v>0</v>
      </c>
      <c r="AF111" s="545">
        <f ca="1">IF(AND($D111="Serviço",AF$12&lt;&gt;0,$H111&gt;0,OR(AUTOEVENTO&lt;&gt;"manual",$M111&lt;&gt;1)),
IF(Import.TipoArredondamento&lt;&gt;"TransfereGOV",
ROUND(OFFSET($P111,0,AF$13),15-13*ORÇAMENTO!$AF$7)/$H111*OFFSET(ORÇAMENTO!$X$15,ROW(AF111)-ROW(AF$15),0),
ROUND(ROUND(OFFSET($P111,0,AF$13),15-13*ORÇAMENTO!$AF$7)*OFFSET(ORÇAMENTO!$W$15,ROW(AF111)-ROW(AF$15),0),15-13*ORÇAMENTO!$AF$11)),0)</f>
        <v>0</v>
      </c>
      <c r="AG111" s="545">
        <f ca="1">IF(AND($D111="Serviço",AG$12&lt;&gt;0,$H111&gt;0,OR(AUTOEVENTO&lt;&gt;"manual",$M111&lt;&gt;1)),
IF(Import.TipoArredondamento&lt;&gt;"TransfereGOV",
ROUND(OFFSET($P111,0,AG$13),15-13*ORÇAMENTO!$AF$7)/$H111*OFFSET(ORÇAMENTO!$X$15,ROW(AG111)-ROW(AG$15),0),
ROUND(ROUND(OFFSET($P111,0,AG$13),15-13*ORÇAMENTO!$AF$7)*OFFSET(ORÇAMENTO!$W$15,ROW(AG111)-ROW(AG$15),0),15-13*ORÇAMENTO!$AF$11)),0)</f>
        <v>0</v>
      </c>
      <c r="AH111" s="545">
        <f ca="1">IF(AND($D111="Serviço",AH$12&lt;&gt;0,$H111&gt;0,OR(AUTOEVENTO&lt;&gt;"manual",$M111&lt;&gt;1)),
IF(Import.TipoArredondamento&lt;&gt;"TransfereGOV",
ROUND(OFFSET($P111,0,AH$13),15-13*ORÇAMENTO!$AF$7)/$H111*OFFSET(ORÇAMENTO!$X$15,ROW(AH111)-ROW(AH$15),0),
ROUND(ROUND(OFFSET($P111,0,AH$13),15-13*ORÇAMENTO!$AF$7)*OFFSET(ORÇAMENTO!$W$15,ROW(AH111)-ROW(AH$15),0),15-13*ORÇAMENTO!$AF$11)),0)</f>
        <v>0</v>
      </c>
      <c r="AI111" s="545">
        <f ca="1">IF(AND($D111="Serviço",AI$12&lt;&gt;0,$H111&gt;0,OR(AUTOEVENTO&lt;&gt;"manual",$M111&lt;&gt;1)),
IF(Import.TipoArredondamento&lt;&gt;"TransfereGOV",
ROUND(OFFSET($P111,0,AI$13),15-13*ORÇAMENTO!$AF$7)/$H111*OFFSET(ORÇAMENTO!$X$15,ROW(AI111)-ROW(AI$15),0),
ROUND(ROUND(OFFSET($P111,0,AI$13),15-13*ORÇAMENTO!$AF$7)*OFFSET(ORÇAMENTO!$W$15,ROW(AI111)-ROW(AI$15),0),15-13*ORÇAMENTO!$AF$11)),0)</f>
        <v>0</v>
      </c>
      <c r="AJ111" s="545">
        <f ca="1">IF(AND($D111="Serviço",AJ$12&lt;&gt;0,$H111&gt;0,OR(AUTOEVENTO&lt;&gt;"manual",$M111&lt;&gt;1)),
IF(Import.TipoArredondamento&lt;&gt;"TransfereGOV",
ROUND(OFFSET($P111,0,AJ$13),15-13*ORÇAMENTO!$AF$7)/$H111*OFFSET(ORÇAMENTO!$X$15,ROW(AJ111)-ROW(AJ$15),0),
ROUND(ROUND(OFFSET($P111,0,AJ$13),15-13*ORÇAMENTO!$AF$7)*OFFSET(ORÇAMENTO!$W$15,ROW(AJ111)-ROW(AJ$15),0),15-13*ORÇAMENTO!$AF$11)),0)</f>
        <v>0</v>
      </c>
      <c r="AK111" s="546">
        <f ca="1">IF(AND($D111="Serviço",AK$12&lt;&gt;0,$H111&gt;0,OR(AUTOEVENTO&lt;&gt;"manual",$M111&lt;&gt;1)),
IF(Import.TipoArredondamento&lt;&gt;"TransfereGOV",
ROUND(OFFSET($P111,0,AK$13),15-13*ORÇAMENTO!$AF$7)/$H111*OFFSET(ORÇAMENTO!$X$15,ROW(AK111)-ROW(AK$15),0),
ROUND(ROUND(OFFSET($P111,0,AK$13),15-13*ORÇAMENTO!$AF$7)*OFFSET(ORÇAMENTO!$W$15,ROW(AK111)-ROW(AK$15),0),15-13*ORÇAMENTO!$AF$11)),0)</f>
        <v>0</v>
      </c>
      <c r="AM111" s="181">
        <f ca="1">IF($D111&lt;&gt;"Serviço",0,IF(AND(AUTOEVENTO="Manual",$M111=1),0,IF(OFFSET(CRONOPLE!$F$14,$M111,AM$13)="",10^12,OFFSET(CRONOPLE!$F$14,$M111,AM$13))))</f>
        <v>1000000000000</v>
      </c>
      <c r="AN111" s="181">
        <f ca="1">IF($D111&lt;&gt;"Serviço",0,IF(AND(AUTOEVENTO="Manual",$M111=1),0,IF(OFFSET(CRONOPLE!$F$14,$M111,AN$13)="",10^12,OFFSET(CRONOPLE!$F$14,$M111,AN$13))))</f>
        <v>1000000000000</v>
      </c>
      <c r="AO111" s="181">
        <f ca="1">IF($D111&lt;&gt;"Serviço",0,IF(AND(AUTOEVENTO="Manual",$M111=1),0,IF(OFFSET(CRONOPLE!$F$14,$M111,AO$13)="",10^12,OFFSET(CRONOPLE!$F$14,$M111,AO$13))))</f>
        <v>1000000000000</v>
      </c>
      <c r="AP111" s="181">
        <f ca="1">IF($D111&lt;&gt;"Serviço",0,IF(AND(AUTOEVENTO="Manual",$M111=1),0,IF(OFFSET(CRONOPLE!$F$14,$M111,AP$13)="",10^12,OFFSET(CRONOPLE!$F$14,$M111,AP$13))))</f>
        <v>1000000000000</v>
      </c>
      <c r="AQ111" s="181">
        <f ca="1">IF($D111&lt;&gt;"Serviço",0,IF(AND(AUTOEVENTO="Manual",$M111=1),0,IF(OFFSET(CRONOPLE!$F$14,$M111,AQ$13)="",10^12,OFFSET(CRONOPLE!$F$14,$M111,AQ$13))))</f>
        <v>1000000000000</v>
      </c>
      <c r="AR111" s="181">
        <f ca="1">IF($D111&lt;&gt;"Serviço",0,IF(AND(AUTOEVENTO="Manual",$M111=1),0,IF(OFFSET(CRONOPLE!$F$14,$M111,AR$13)="",10^12,OFFSET(CRONOPLE!$F$14,$M111,AR$13))))</f>
        <v>1000000000000</v>
      </c>
      <c r="AS111" s="181">
        <f ca="1">IF($D111&lt;&gt;"Serviço",0,IF(AND(AUTOEVENTO="Manual",$M111=1),0,IF(OFFSET(CRONOPLE!$F$14,$M111,AS$13)="",10^12,OFFSET(CRONOPLE!$F$14,$M111,AS$13))))</f>
        <v>1000000000000</v>
      </c>
      <c r="AT111" s="181">
        <f ca="1">IF($D111&lt;&gt;"Serviço",0,IF(AND(AUTOEVENTO="Manual",$M111=1),0,IF(OFFSET(CRONOPLE!$F$14,$M111,AT$13)="",10^12,OFFSET(CRONOPLE!$F$14,$M111,AT$13))))</f>
        <v>1000000000000</v>
      </c>
      <c r="AU111" s="181">
        <f ca="1">IF($D111&lt;&gt;"Serviço",0,IF(AND(AUTOEVENTO="Manual",$M111=1),0,IF(OFFSET(CRONOPLE!$F$14,$M111,AU$13)="",10^12,OFFSET(CRONOPLE!$F$14,$M111,AU$13))))</f>
        <v>1000000000000</v>
      </c>
      <c r="AV111" s="181">
        <f ca="1">IF($D111&lt;&gt;"Serviço",0,IF(AND(AUTOEVENTO="Manual",$M111=1),0,IF(OFFSET(CRONOPLE!$F$14,$M111,AV$13)="",10^12,OFFSET(CRONOPLE!$F$14,$M111,AV$13))))</f>
        <v>1000000000000</v>
      </c>
      <c r="AX111" s="182">
        <f ca="1">IF($D111&lt;&gt;"Serviço",0,IF(OR(AND(AUTOEVENTO="Manual",$M111=1),$M111&gt;(ROW(PLE.lastrow)-ROW(PLE.firstrow))),0,IF(OFFSET(PLE!$G$14,$M111,AX$13)="",10^12,OFFSET(PLE!$G$14,$M111,AX$13))))</f>
        <v>1000000000000</v>
      </c>
      <c r="AY111" s="182">
        <f ca="1">IF($D111&lt;&gt;"Serviço",0,IF(OR(AND(AUTOEVENTO="Manual",$M111=1),$M111&gt;(ROW(PLE.lastrow)-ROW(PLE.firstrow))),0,IF(OFFSET(PLE!$G$14,$M111,AY$13)="",10^12,OFFSET(PLE!$G$14,$M111,AY$13))))</f>
        <v>1000000000000</v>
      </c>
      <c r="AZ111" s="182">
        <f ca="1">IF($D111&lt;&gt;"Serviço",0,IF(OR(AND(AUTOEVENTO="Manual",$M111=1),$M111&gt;(ROW(PLE.lastrow)-ROW(PLE.firstrow))),0,IF(OFFSET(PLE!$G$14,$M111,AZ$13)="",10^12,OFFSET(PLE!$G$14,$M111,AZ$13))))</f>
        <v>1000000000000</v>
      </c>
      <c r="BA111" s="182">
        <f ca="1">IF($D111&lt;&gt;"Serviço",0,IF(OR(AND(AUTOEVENTO="Manual",$M111=1),$M111&gt;(ROW(PLE.lastrow)-ROW(PLE.firstrow))),0,IF(OFFSET(PLE!$G$14,$M111,BA$13)="",10^12,OFFSET(PLE!$G$14,$M111,BA$13))))</f>
        <v>1000000000000</v>
      </c>
      <c r="BB111" s="182">
        <f ca="1">IF($D111&lt;&gt;"Serviço",0,IF(OR(AND(AUTOEVENTO="Manual",$M111=1),$M111&gt;(ROW(PLE.lastrow)-ROW(PLE.firstrow))),0,IF(OFFSET(PLE!$G$14,$M111,BB$13)="",10^12,OFFSET(PLE!$G$14,$M111,BB$13))))</f>
        <v>1000000000000</v>
      </c>
      <c r="BC111" s="182">
        <f ca="1">IF($D111&lt;&gt;"Serviço",0,IF(OR(AND(AUTOEVENTO="Manual",$M111=1),$M111&gt;(ROW(PLE.lastrow)-ROW(PLE.firstrow))),0,IF(OFFSET(PLE!$G$14,$M111,BC$13)="",10^12,OFFSET(PLE!$G$14,$M111,BC$13))))</f>
        <v>1000000000000</v>
      </c>
      <c r="BD111" s="182">
        <f ca="1">IF($D111&lt;&gt;"Serviço",0,IF(OR(AND(AUTOEVENTO="Manual",$M111=1),$M111&gt;(ROW(PLE.lastrow)-ROW(PLE.firstrow))),0,IF(OFFSET(PLE!$G$14,$M111,BD$13)="",10^12,OFFSET(PLE!$G$14,$M111,BD$13))))</f>
        <v>1000000000000</v>
      </c>
      <c r="BE111" s="182">
        <f ca="1">IF($D111&lt;&gt;"Serviço",0,IF(OR(AND(AUTOEVENTO="Manual",$M111=1),$M111&gt;(ROW(PLE.lastrow)-ROW(PLE.firstrow))),0,IF(OFFSET(PLE!$G$14,$M111,BE$13)="",10^12,OFFSET(PLE!$G$14,$M111,BE$13))))</f>
        <v>1000000000000</v>
      </c>
      <c r="BF111" s="182">
        <f ca="1">IF($D111&lt;&gt;"Serviço",0,IF(OR(AND(AUTOEVENTO="Manual",$M111=1),$M111&gt;(ROW(PLE.lastrow)-ROW(PLE.firstrow))),0,IF(OFFSET(PLE!$G$14,$M111,BF$13)="",10^12,OFFSET(PLE!$G$14,$M111,BF$13))))</f>
        <v>1000000000000</v>
      </c>
      <c r="BG111" s="182">
        <f ca="1">IF($D111&lt;&gt;"Serviço",0,IF(OR(AND(AUTOEVENTO="Manual",$M111=1),$M111&gt;(ROW(PLE.lastrow)-ROW(PLE.firstrow))),0,IF(OFFSET(PLE!$G$14,$M111,BG$13)="",10^12,OFFSET(PLE!$G$14,$M111,BG$13))))</f>
        <v>1000000000000</v>
      </c>
    </row>
    <row r="112" spans="1:59" ht="38.25" x14ac:dyDescent="0.2">
      <c r="A112" s="7" t="str">
        <f t="shared" ca="1" si="8"/>
        <v>83</v>
      </c>
      <c r="B112" s="7" t="str">
        <f ca="1">OFFSET(ORÇAMENTO!C$15,ROW(B112)-ROW(B$15),0)</f>
        <v>S</v>
      </c>
      <c r="C112" s="7" t="str">
        <f ca="1">OFFSET(ORÇAMENTO!L$15,ROW(C112)-ROW(C$15),0)</f>
        <v>F</v>
      </c>
      <c r="D112" s="118" t="str">
        <f ca="1">OFFSET(ORÇAMENTO!N$15,ROW(D112)-ROW(D$15),0)</f>
        <v>Serviço</v>
      </c>
      <c r="E112" s="119" t="str">
        <f ca="1">OFFSET(ORÇAMENTO!O$15,ROW(E112)-ROW(E$15),0)</f>
        <v>6.3.14.</v>
      </c>
      <c r="F112" s="172" t="str">
        <f ca="1">OFFSET(ORÇAMENTO!R$15,ROW(F112)-ROW(F$15),0)</f>
        <v>FOSSA SEPTICA, SEM FILTRO, EM POLIETILENO DE ALTA DENSIDADE (PEAD), PARA 4 A 7 CONTRIBUINTES, CILINDRICA, COM TAMPA, CAPACIDADE APROXIMADA DE *1100* LITROS (NBR 7229)</v>
      </c>
      <c r="G112" s="173" t="str">
        <f ca="1">IF($D112&lt;&gt;"Serviço","",OFFSET(ORÇAMENTO!S$15,ROW(G112)-ROW(G$15),0))</f>
        <v>UN</v>
      </c>
      <c r="H112" s="124">
        <f ca="1">IF($D112&lt;&gt;"Serviço",0,IF(ACOMPANHAMENTO="BM",ROUND(OFFSET(ORÇAMENTO!AJ$15,ROW(H112)-ROW(H$15),0),15-13*ORÇAMENTO!$AF$7),SUMPRODUCT(($Q$12:$AA$12&lt;&gt;"")*ROUND($Q112:$AA112,15-13*ORÇAMENTO!$AF$7))))</f>
        <v>1</v>
      </c>
      <c r="I112" s="561"/>
      <c r="K112" s="174"/>
      <c r="L112" s="175" t="s">
        <v>255</v>
      </c>
      <c r="M112" s="176">
        <f ca="1">IF($D112&lt;&gt;"Serviço","",IF(AUTOEVENTO="manual",$A112,IF(ISERROR(MATCH($A112,$A$15:OFFSET($A112,-1,0),0)),MAX($M$15:OFFSET(M112,-1,0))+1,INDEX($M$15:OFFSET(M112,-1,0),MATCH($A112,$A$15:OFFSET($A112,-1,0),0)))))</f>
        <v>16</v>
      </c>
      <c r="N112" s="177" t="str">
        <f ca="1">IF($D112&lt;&gt;"Serviço","",IF(AUTOEVENTO="Manual",IF($A112=0,"&lt;-- defina o número do agrupador",OFFSET(EVENTOS!$D$14,$A112,0)),OFFSET($F$15,$A112,0)))</f>
        <v xml:space="preserve">INSTALAÇÕES HIDROSSANITÁRIAS </v>
      </c>
      <c r="O112" s="178"/>
      <c r="Q112" s="178"/>
      <c r="R112" s="179"/>
      <c r="S112" s="179"/>
      <c r="T112" s="179"/>
      <c r="U112" s="179"/>
      <c r="V112" s="179"/>
      <c r="W112" s="179"/>
      <c r="X112" s="179"/>
      <c r="Y112" s="179"/>
      <c r="Z112" s="180"/>
      <c r="AB112" s="544">
        <f ca="1">IF(AND($D112="Serviço",AB$12&lt;&gt;0,$H112&gt;0,OR(AUTOEVENTO&lt;&gt;"manual",$M112&lt;&gt;1)),
IF(Import.TipoArredondamento&lt;&gt;"TransfereGOV",
ROUND(OFFSET($P112,0,AB$13),15-13*ORÇAMENTO!$AF$7)/$H112*OFFSET(ORÇAMENTO!$X$15,ROW(AB112)-ROW(AB$15),0),
ROUND(ROUND(OFFSET($P112,0,AB$13),15-13*ORÇAMENTO!$AF$7)*OFFSET(ORÇAMENTO!$W$15,ROW(AB112)-ROW(AB$15),0),15-13*ORÇAMENTO!$AF$11)),0)</f>
        <v>0</v>
      </c>
      <c r="AC112" s="545">
        <f ca="1">IF(AND($D112="Serviço",AC$12&lt;&gt;0,$H112&gt;0,OR(AUTOEVENTO&lt;&gt;"manual",$M112&lt;&gt;1)),
IF(Import.TipoArredondamento&lt;&gt;"TransfereGOV",
ROUND(OFFSET($P112,0,AC$13),15-13*ORÇAMENTO!$AF$7)/$H112*OFFSET(ORÇAMENTO!$X$15,ROW(AC112)-ROW(AC$15),0),
ROUND(ROUND(OFFSET($P112,0,AC$13),15-13*ORÇAMENTO!$AF$7)*OFFSET(ORÇAMENTO!$W$15,ROW(AC112)-ROW(AC$15),0),15-13*ORÇAMENTO!$AF$11)),0)</f>
        <v>0</v>
      </c>
      <c r="AD112" s="545">
        <f ca="1">IF(AND($D112="Serviço",AD$12&lt;&gt;0,$H112&gt;0,OR(AUTOEVENTO&lt;&gt;"manual",$M112&lt;&gt;1)),
IF(Import.TipoArredondamento&lt;&gt;"TransfereGOV",
ROUND(OFFSET($P112,0,AD$13),15-13*ORÇAMENTO!$AF$7)/$H112*OFFSET(ORÇAMENTO!$X$15,ROW(AD112)-ROW(AD$15),0),
ROUND(ROUND(OFFSET($P112,0,AD$13),15-13*ORÇAMENTO!$AF$7)*OFFSET(ORÇAMENTO!$W$15,ROW(AD112)-ROW(AD$15),0),15-13*ORÇAMENTO!$AF$11)),0)</f>
        <v>0</v>
      </c>
      <c r="AE112" s="545">
        <f ca="1">IF(AND($D112="Serviço",AE$12&lt;&gt;0,$H112&gt;0,OR(AUTOEVENTO&lt;&gt;"manual",$M112&lt;&gt;1)),
IF(Import.TipoArredondamento&lt;&gt;"TransfereGOV",
ROUND(OFFSET($P112,0,AE$13),15-13*ORÇAMENTO!$AF$7)/$H112*OFFSET(ORÇAMENTO!$X$15,ROW(AE112)-ROW(AE$15),0),
ROUND(ROUND(OFFSET($P112,0,AE$13),15-13*ORÇAMENTO!$AF$7)*OFFSET(ORÇAMENTO!$W$15,ROW(AE112)-ROW(AE$15),0),15-13*ORÇAMENTO!$AF$11)),0)</f>
        <v>0</v>
      </c>
      <c r="AF112" s="545">
        <f ca="1">IF(AND($D112="Serviço",AF$12&lt;&gt;0,$H112&gt;0,OR(AUTOEVENTO&lt;&gt;"manual",$M112&lt;&gt;1)),
IF(Import.TipoArredondamento&lt;&gt;"TransfereGOV",
ROUND(OFFSET($P112,0,AF$13),15-13*ORÇAMENTO!$AF$7)/$H112*OFFSET(ORÇAMENTO!$X$15,ROW(AF112)-ROW(AF$15),0),
ROUND(ROUND(OFFSET($P112,0,AF$13),15-13*ORÇAMENTO!$AF$7)*OFFSET(ORÇAMENTO!$W$15,ROW(AF112)-ROW(AF$15),0),15-13*ORÇAMENTO!$AF$11)),0)</f>
        <v>0</v>
      </c>
      <c r="AG112" s="545">
        <f ca="1">IF(AND($D112="Serviço",AG$12&lt;&gt;0,$H112&gt;0,OR(AUTOEVENTO&lt;&gt;"manual",$M112&lt;&gt;1)),
IF(Import.TipoArredondamento&lt;&gt;"TransfereGOV",
ROUND(OFFSET($P112,0,AG$13),15-13*ORÇAMENTO!$AF$7)/$H112*OFFSET(ORÇAMENTO!$X$15,ROW(AG112)-ROW(AG$15),0),
ROUND(ROUND(OFFSET($P112,0,AG$13),15-13*ORÇAMENTO!$AF$7)*OFFSET(ORÇAMENTO!$W$15,ROW(AG112)-ROW(AG$15),0),15-13*ORÇAMENTO!$AF$11)),0)</f>
        <v>0</v>
      </c>
      <c r="AH112" s="545">
        <f ca="1">IF(AND($D112="Serviço",AH$12&lt;&gt;0,$H112&gt;0,OR(AUTOEVENTO&lt;&gt;"manual",$M112&lt;&gt;1)),
IF(Import.TipoArredondamento&lt;&gt;"TransfereGOV",
ROUND(OFFSET($P112,0,AH$13),15-13*ORÇAMENTO!$AF$7)/$H112*OFFSET(ORÇAMENTO!$X$15,ROW(AH112)-ROW(AH$15),0),
ROUND(ROUND(OFFSET($P112,0,AH$13),15-13*ORÇAMENTO!$AF$7)*OFFSET(ORÇAMENTO!$W$15,ROW(AH112)-ROW(AH$15),0),15-13*ORÇAMENTO!$AF$11)),0)</f>
        <v>0</v>
      </c>
      <c r="AI112" s="545">
        <f ca="1">IF(AND($D112="Serviço",AI$12&lt;&gt;0,$H112&gt;0,OR(AUTOEVENTO&lt;&gt;"manual",$M112&lt;&gt;1)),
IF(Import.TipoArredondamento&lt;&gt;"TransfereGOV",
ROUND(OFFSET($P112,0,AI$13),15-13*ORÇAMENTO!$AF$7)/$H112*OFFSET(ORÇAMENTO!$X$15,ROW(AI112)-ROW(AI$15),0),
ROUND(ROUND(OFFSET($P112,0,AI$13),15-13*ORÇAMENTO!$AF$7)*OFFSET(ORÇAMENTO!$W$15,ROW(AI112)-ROW(AI$15),0),15-13*ORÇAMENTO!$AF$11)),0)</f>
        <v>0</v>
      </c>
      <c r="AJ112" s="545">
        <f ca="1">IF(AND($D112="Serviço",AJ$12&lt;&gt;0,$H112&gt;0,OR(AUTOEVENTO&lt;&gt;"manual",$M112&lt;&gt;1)),
IF(Import.TipoArredondamento&lt;&gt;"TransfereGOV",
ROUND(OFFSET($P112,0,AJ$13),15-13*ORÇAMENTO!$AF$7)/$H112*OFFSET(ORÇAMENTO!$X$15,ROW(AJ112)-ROW(AJ$15),0),
ROUND(ROUND(OFFSET($P112,0,AJ$13),15-13*ORÇAMENTO!$AF$7)*OFFSET(ORÇAMENTO!$W$15,ROW(AJ112)-ROW(AJ$15),0),15-13*ORÇAMENTO!$AF$11)),0)</f>
        <v>0</v>
      </c>
      <c r="AK112" s="546">
        <f ca="1">IF(AND($D112="Serviço",AK$12&lt;&gt;0,$H112&gt;0,OR(AUTOEVENTO&lt;&gt;"manual",$M112&lt;&gt;1)),
IF(Import.TipoArredondamento&lt;&gt;"TransfereGOV",
ROUND(OFFSET($P112,0,AK$13),15-13*ORÇAMENTO!$AF$7)/$H112*OFFSET(ORÇAMENTO!$X$15,ROW(AK112)-ROW(AK$15),0),
ROUND(ROUND(OFFSET($P112,0,AK$13),15-13*ORÇAMENTO!$AF$7)*OFFSET(ORÇAMENTO!$W$15,ROW(AK112)-ROW(AK$15),0),15-13*ORÇAMENTO!$AF$11)),0)</f>
        <v>0</v>
      </c>
      <c r="AM112" s="181">
        <f ca="1">IF($D112&lt;&gt;"Serviço",0,IF(AND(AUTOEVENTO="Manual",$M112=1),0,IF(OFFSET(CRONOPLE!$F$14,$M112,AM$13)="",10^12,OFFSET(CRONOPLE!$F$14,$M112,AM$13))))</f>
        <v>1000000000000</v>
      </c>
      <c r="AN112" s="181">
        <f ca="1">IF($D112&lt;&gt;"Serviço",0,IF(AND(AUTOEVENTO="Manual",$M112=1),0,IF(OFFSET(CRONOPLE!$F$14,$M112,AN$13)="",10^12,OFFSET(CRONOPLE!$F$14,$M112,AN$13))))</f>
        <v>1000000000000</v>
      </c>
      <c r="AO112" s="181">
        <f ca="1">IF($D112&lt;&gt;"Serviço",0,IF(AND(AUTOEVENTO="Manual",$M112=1),0,IF(OFFSET(CRONOPLE!$F$14,$M112,AO$13)="",10^12,OFFSET(CRONOPLE!$F$14,$M112,AO$13))))</f>
        <v>1000000000000</v>
      </c>
      <c r="AP112" s="181">
        <f ca="1">IF($D112&lt;&gt;"Serviço",0,IF(AND(AUTOEVENTO="Manual",$M112=1),0,IF(OFFSET(CRONOPLE!$F$14,$M112,AP$13)="",10^12,OFFSET(CRONOPLE!$F$14,$M112,AP$13))))</f>
        <v>1000000000000</v>
      </c>
      <c r="AQ112" s="181">
        <f ca="1">IF($D112&lt;&gt;"Serviço",0,IF(AND(AUTOEVENTO="Manual",$M112=1),0,IF(OFFSET(CRONOPLE!$F$14,$M112,AQ$13)="",10^12,OFFSET(CRONOPLE!$F$14,$M112,AQ$13))))</f>
        <v>1000000000000</v>
      </c>
      <c r="AR112" s="181">
        <f ca="1">IF($D112&lt;&gt;"Serviço",0,IF(AND(AUTOEVENTO="Manual",$M112=1),0,IF(OFFSET(CRONOPLE!$F$14,$M112,AR$13)="",10^12,OFFSET(CRONOPLE!$F$14,$M112,AR$13))))</f>
        <v>1000000000000</v>
      </c>
      <c r="AS112" s="181">
        <f ca="1">IF($D112&lt;&gt;"Serviço",0,IF(AND(AUTOEVENTO="Manual",$M112=1),0,IF(OFFSET(CRONOPLE!$F$14,$M112,AS$13)="",10^12,OFFSET(CRONOPLE!$F$14,$M112,AS$13))))</f>
        <v>1000000000000</v>
      </c>
      <c r="AT112" s="181">
        <f ca="1">IF($D112&lt;&gt;"Serviço",0,IF(AND(AUTOEVENTO="Manual",$M112=1),0,IF(OFFSET(CRONOPLE!$F$14,$M112,AT$13)="",10^12,OFFSET(CRONOPLE!$F$14,$M112,AT$13))))</f>
        <v>1000000000000</v>
      </c>
      <c r="AU112" s="181">
        <f ca="1">IF($D112&lt;&gt;"Serviço",0,IF(AND(AUTOEVENTO="Manual",$M112=1),0,IF(OFFSET(CRONOPLE!$F$14,$M112,AU$13)="",10^12,OFFSET(CRONOPLE!$F$14,$M112,AU$13))))</f>
        <v>1000000000000</v>
      </c>
      <c r="AV112" s="181">
        <f ca="1">IF($D112&lt;&gt;"Serviço",0,IF(AND(AUTOEVENTO="Manual",$M112=1),0,IF(OFFSET(CRONOPLE!$F$14,$M112,AV$13)="",10^12,OFFSET(CRONOPLE!$F$14,$M112,AV$13))))</f>
        <v>1000000000000</v>
      </c>
      <c r="AX112" s="182">
        <f ca="1">IF($D112&lt;&gt;"Serviço",0,IF(OR(AND(AUTOEVENTO="Manual",$M112=1),$M112&gt;(ROW(PLE.lastrow)-ROW(PLE.firstrow))),0,IF(OFFSET(PLE!$G$14,$M112,AX$13)="",10^12,OFFSET(PLE!$G$14,$M112,AX$13))))</f>
        <v>1000000000000</v>
      </c>
      <c r="AY112" s="182">
        <f ca="1">IF($D112&lt;&gt;"Serviço",0,IF(OR(AND(AUTOEVENTO="Manual",$M112=1),$M112&gt;(ROW(PLE.lastrow)-ROW(PLE.firstrow))),0,IF(OFFSET(PLE!$G$14,$M112,AY$13)="",10^12,OFFSET(PLE!$G$14,$M112,AY$13))))</f>
        <v>1000000000000</v>
      </c>
      <c r="AZ112" s="182">
        <f ca="1">IF($D112&lt;&gt;"Serviço",0,IF(OR(AND(AUTOEVENTO="Manual",$M112=1),$M112&gt;(ROW(PLE.lastrow)-ROW(PLE.firstrow))),0,IF(OFFSET(PLE!$G$14,$M112,AZ$13)="",10^12,OFFSET(PLE!$G$14,$M112,AZ$13))))</f>
        <v>1000000000000</v>
      </c>
      <c r="BA112" s="182">
        <f ca="1">IF($D112&lt;&gt;"Serviço",0,IF(OR(AND(AUTOEVENTO="Manual",$M112=1),$M112&gt;(ROW(PLE.lastrow)-ROW(PLE.firstrow))),0,IF(OFFSET(PLE!$G$14,$M112,BA$13)="",10^12,OFFSET(PLE!$G$14,$M112,BA$13))))</f>
        <v>1000000000000</v>
      </c>
      <c r="BB112" s="182">
        <f ca="1">IF($D112&lt;&gt;"Serviço",0,IF(OR(AND(AUTOEVENTO="Manual",$M112=1),$M112&gt;(ROW(PLE.lastrow)-ROW(PLE.firstrow))),0,IF(OFFSET(PLE!$G$14,$M112,BB$13)="",10^12,OFFSET(PLE!$G$14,$M112,BB$13))))</f>
        <v>1000000000000</v>
      </c>
      <c r="BC112" s="182">
        <f ca="1">IF($D112&lt;&gt;"Serviço",0,IF(OR(AND(AUTOEVENTO="Manual",$M112=1),$M112&gt;(ROW(PLE.lastrow)-ROW(PLE.firstrow))),0,IF(OFFSET(PLE!$G$14,$M112,BC$13)="",10^12,OFFSET(PLE!$G$14,$M112,BC$13))))</f>
        <v>1000000000000</v>
      </c>
      <c r="BD112" s="182">
        <f ca="1">IF($D112&lt;&gt;"Serviço",0,IF(OR(AND(AUTOEVENTO="Manual",$M112=1),$M112&gt;(ROW(PLE.lastrow)-ROW(PLE.firstrow))),0,IF(OFFSET(PLE!$G$14,$M112,BD$13)="",10^12,OFFSET(PLE!$G$14,$M112,BD$13))))</f>
        <v>1000000000000</v>
      </c>
      <c r="BE112" s="182">
        <f ca="1">IF($D112&lt;&gt;"Serviço",0,IF(OR(AND(AUTOEVENTO="Manual",$M112=1),$M112&gt;(ROW(PLE.lastrow)-ROW(PLE.firstrow))),0,IF(OFFSET(PLE!$G$14,$M112,BE$13)="",10^12,OFFSET(PLE!$G$14,$M112,BE$13))))</f>
        <v>1000000000000</v>
      </c>
      <c r="BF112" s="182">
        <f ca="1">IF($D112&lt;&gt;"Serviço",0,IF(OR(AND(AUTOEVENTO="Manual",$M112=1),$M112&gt;(ROW(PLE.lastrow)-ROW(PLE.firstrow))),0,IF(OFFSET(PLE!$G$14,$M112,BF$13)="",10^12,OFFSET(PLE!$G$14,$M112,BF$13))))</f>
        <v>1000000000000</v>
      </c>
      <c r="BG112" s="182">
        <f ca="1">IF($D112&lt;&gt;"Serviço",0,IF(OR(AND(AUTOEVENTO="Manual",$M112=1),$M112&gt;(ROW(PLE.lastrow)-ROW(PLE.firstrow))),0,IF(OFFSET(PLE!$G$14,$M112,BG$13)="",10^12,OFFSET(PLE!$G$14,$M112,BG$13))))</f>
        <v>1000000000000</v>
      </c>
    </row>
    <row r="113" spans="1:59" ht="25.5" x14ac:dyDescent="0.2">
      <c r="A113" s="7" t="str">
        <f t="shared" ca="1" si="8"/>
        <v>83</v>
      </c>
      <c r="B113" s="7" t="str">
        <f ca="1">OFFSET(ORÇAMENTO!C$15,ROW(B113)-ROW(B$15),0)</f>
        <v>S</v>
      </c>
      <c r="C113" s="7" t="str">
        <f ca="1">OFFSET(ORÇAMENTO!L$15,ROW(C113)-ROW(C$15),0)</f>
        <v>F</v>
      </c>
      <c r="D113" s="118" t="str">
        <f ca="1">OFFSET(ORÇAMENTO!N$15,ROW(D113)-ROW(D$15),0)</f>
        <v>Serviço</v>
      </c>
      <c r="E113" s="119" t="str">
        <f ca="1">OFFSET(ORÇAMENTO!O$15,ROW(E113)-ROW(E$15),0)</f>
        <v>6.3.15.</v>
      </c>
      <c r="F113" s="172" t="str">
        <f ca="1">OFFSET(ORÇAMENTO!R$15,ROW(F113)-ROW(F$15),0)</f>
        <v>FILTRO ANAEROBIO, EM POLIETILENO DE ALTA DENSIDADE (PEAD), CAPACIDADE *1100* LITROS (NBR 13969)</v>
      </c>
      <c r="G113" s="173" t="str">
        <f ca="1">IF($D113&lt;&gt;"Serviço","",OFFSET(ORÇAMENTO!S$15,ROW(G113)-ROW(G$15),0))</f>
        <v>UN</v>
      </c>
      <c r="H113" s="124">
        <f ca="1">IF($D113&lt;&gt;"Serviço",0,IF(ACOMPANHAMENTO="BM",ROUND(OFFSET(ORÇAMENTO!AJ$15,ROW(H113)-ROW(H$15),0),15-13*ORÇAMENTO!$AF$7),SUMPRODUCT(($Q$12:$AA$12&lt;&gt;"")*ROUND($Q113:$AA113,15-13*ORÇAMENTO!$AF$7))))</f>
        <v>1</v>
      </c>
      <c r="I113" s="561"/>
      <c r="K113" s="174"/>
      <c r="L113" s="175" t="s">
        <v>255</v>
      </c>
      <c r="M113" s="176">
        <f ca="1">IF($D113&lt;&gt;"Serviço","",IF(AUTOEVENTO="manual",$A113,IF(ISERROR(MATCH($A113,$A$15:OFFSET($A113,-1,0),0)),MAX($M$15:OFFSET(M113,-1,0))+1,INDEX($M$15:OFFSET(M113,-1,0),MATCH($A113,$A$15:OFFSET($A113,-1,0),0)))))</f>
        <v>16</v>
      </c>
      <c r="N113" s="177" t="str">
        <f ca="1">IF($D113&lt;&gt;"Serviço","",IF(AUTOEVENTO="Manual",IF($A113=0,"&lt;-- defina o número do agrupador",OFFSET(EVENTOS!$D$14,$A113,0)),OFFSET($F$15,$A113,0)))</f>
        <v xml:space="preserve">INSTALAÇÕES HIDROSSANITÁRIAS </v>
      </c>
      <c r="O113" s="178"/>
      <c r="Q113" s="178"/>
      <c r="R113" s="179"/>
      <c r="S113" s="179"/>
      <c r="T113" s="179"/>
      <c r="U113" s="179"/>
      <c r="V113" s="179"/>
      <c r="W113" s="179"/>
      <c r="X113" s="179"/>
      <c r="Y113" s="179"/>
      <c r="Z113" s="180"/>
      <c r="AB113" s="544">
        <f ca="1">IF(AND($D113="Serviço",AB$12&lt;&gt;0,$H113&gt;0,OR(AUTOEVENTO&lt;&gt;"manual",$M113&lt;&gt;1)),
IF(Import.TipoArredondamento&lt;&gt;"TransfereGOV",
ROUND(OFFSET($P113,0,AB$13),15-13*ORÇAMENTO!$AF$7)/$H113*OFFSET(ORÇAMENTO!$X$15,ROW(AB113)-ROW(AB$15),0),
ROUND(ROUND(OFFSET($P113,0,AB$13),15-13*ORÇAMENTO!$AF$7)*OFFSET(ORÇAMENTO!$W$15,ROW(AB113)-ROW(AB$15),0),15-13*ORÇAMENTO!$AF$11)),0)</f>
        <v>0</v>
      </c>
      <c r="AC113" s="545">
        <f ca="1">IF(AND($D113="Serviço",AC$12&lt;&gt;0,$H113&gt;0,OR(AUTOEVENTO&lt;&gt;"manual",$M113&lt;&gt;1)),
IF(Import.TipoArredondamento&lt;&gt;"TransfereGOV",
ROUND(OFFSET($P113,0,AC$13),15-13*ORÇAMENTO!$AF$7)/$H113*OFFSET(ORÇAMENTO!$X$15,ROW(AC113)-ROW(AC$15),0),
ROUND(ROUND(OFFSET($P113,0,AC$13),15-13*ORÇAMENTO!$AF$7)*OFFSET(ORÇAMENTO!$W$15,ROW(AC113)-ROW(AC$15),0),15-13*ORÇAMENTO!$AF$11)),0)</f>
        <v>0</v>
      </c>
      <c r="AD113" s="545">
        <f ca="1">IF(AND($D113="Serviço",AD$12&lt;&gt;0,$H113&gt;0,OR(AUTOEVENTO&lt;&gt;"manual",$M113&lt;&gt;1)),
IF(Import.TipoArredondamento&lt;&gt;"TransfereGOV",
ROUND(OFFSET($P113,0,AD$13),15-13*ORÇAMENTO!$AF$7)/$H113*OFFSET(ORÇAMENTO!$X$15,ROW(AD113)-ROW(AD$15),0),
ROUND(ROUND(OFFSET($P113,0,AD$13),15-13*ORÇAMENTO!$AF$7)*OFFSET(ORÇAMENTO!$W$15,ROW(AD113)-ROW(AD$15),0),15-13*ORÇAMENTO!$AF$11)),0)</f>
        <v>0</v>
      </c>
      <c r="AE113" s="545">
        <f ca="1">IF(AND($D113="Serviço",AE$12&lt;&gt;0,$H113&gt;0,OR(AUTOEVENTO&lt;&gt;"manual",$M113&lt;&gt;1)),
IF(Import.TipoArredondamento&lt;&gt;"TransfereGOV",
ROUND(OFFSET($P113,0,AE$13),15-13*ORÇAMENTO!$AF$7)/$H113*OFFSET(ORÇAMENTO!$X$15,ROW(AE113)-ROW(AE$15),0),
ROUND(ROUND(OFFSET($P113,0,AE$13),15-13*ORÇAMENTO!$AF$7)*OFFSET(ORÇAMENTO!$W$15,ROW(AE113)-ROW(AE$15),0),15-13*ORÇAMENTO!$AF$11)),0)</f>
        <v>0</v>
      </c>
      <c r="AF113" s="545">
        <f ca="1">IF(AND($D113="Serviço",AF$12&lt;&gt;0,$H113&gt;0,OR(AUTOEVENTO&lt;&gt;"manual",$M113&lt;&gt;1)),
IF(Import.TipoArredondamento&lt;&gt;"TransfereGOV",
ROUND(OFFSET($P113,0,AF$13),15-13*ORÇAMENTO!$AF$7)/$H113*OFFSET(ORÇAMENTO!$X$15,ROW(AF113)-ROW(AF$15),0),
ROUND(ROUND(OFFSET($P113,0,AF$13),15-13*ORÇAMENTO!$AF$7)*OFFSET(ORÇAMENTO!$W$15,ROW(AF113)-ROW(AF$15),0),15-13*ORÇAMENTO!$AF$11)),0)</f>
        <v>0</v>
      </c>
      <c r="AG113" s="545">
        <f ca="1">IF(AND($D113="Serviço",AG$12&lt;&gt;0,$H113&gt;0,OR(AUTOEVENTO&lt;&gt;"manual",$M113&lt;&gt;1)),
IF(Import.TipoArredondamento&lt;&gt;"TransfereGOV",
ROUND(OFFSET($P113,0,AG$13),15-13*ORÇAMENTO!$AF$7)/$H113*OFFSET(ORÇAMENTO!$X$15,ROW(AG113)-ROW(AG$15),0),
ROUND(ROUND(OFFSET($P113,0,AG$13),15-13*ORÇAMENTO!$AF$7)*OFFSET(ORÇAMENTO!$W$15,ROW(AG113)-ROW(AG$15),0),15-13*ORÇAMENTO!$AF$11)),0)</f>
        <v>0</v>
      </c>
      <c r="AH113" s="545">
        <f ca="1">IF(AND($D113="Serviço",AH$12&lt;&gt;0,$H113&gt;0,OR(AUTOEVENTO&lt;&gt;"manual",$M113&lt;&gt;1)),
IF(Import.TipoArredondamento&lt;&gt;"TransfereGOV",
ROUND(OFFSET($P113,0,AH$13),15-13*ORÇAMENTO!$AF$7)/$H113*OFFSET(ORÇAMENTO!$X$15,ROW(AH113)-ROW(AH$15),0),
ROUND(ROUND(OFFSET($P113,0,AH$13),15-13*ORÇAMENTO!$AF$7)*OFFSET(ORÇAMENTO!$W$15,ROW(AH113)-ROW(AH$15),0),15-13*ORÇAMENTO!$AF$11)),0)</f>
        <v>0</v>
      </c>
      <c r="AI113" s="545">
        <f ca="1">IF(AND($D113="Serviço",AI$12&lt;&gt;0,$H113&gt;0,OR(AUTOEVENTO&lt;&gt;"manual",$M113&lt;&gt;1)),
IF(Import.TipoArredondamento&lt;&gt;"TransfereGOV",
ROUND(OFFSET($P113,0,AI$13),15-13*ORÇAMENTO!$AF$7)/$H113*OFFSET(ORÇAMENTO!$X$15,ROW(AI113)-ROW(AI$15),0),
ROUND(ROUND(OFFSET($P113,0,AI$13),15-13*ORÇAMENTO!$AF$7)*OFFSET(ORÇAMENTO!$W$15,ROW(AI113)-ROW(AI$15),0),15-13*ORÇAMENTO!$AF$11)),0)</f>
        <v>0</v>
      </c>
      <c r="AJ113" s="545">
        <f ca="1">IF(AND($D113="Serviço",AJ$12&lt;&gt;0,$H113&gt;0,OR(AUTOEVENTO&lt;&gt;"manual",$M113&lt;&gt;1)),
IF(Import.TipoArredondamento&lt;&gt;"TransfereGOV",
ROUND(OFFSET($P113,0,AJ$13),15-13*ORÇAMENTO!$AF$7)/$H113*OFFSET(ORÇAMENTO!$X$15,ROW(AJ113)-ROW(AJ$15),0),
ROUND(ROUND(OFFSET($P113,0,AJ$13),15-13*ORÇAMENTO!$AF$7)*OFFSET(ORÇAMENTO!$W$15,ROW(AJ113)-ROW(AJ$15),0),15-13*ORÇAMENTO!$AF$11)),0)</f>
        <v>0</v>
      </c>
      <c r="AK113" s="546">
        <f ca="1">IF(AND($D113="Serviço",AK$12&lt;&gt;0,$H113&gt;0,OR(AUTOEVENTO&lt;&gt;"manual",$M113&lt;&gt;1)),
IF(Import.TipoArredondamento&lt;&gt;"TransfereGOV",
ROUND(OFFSET($P113,0,AK$13),15-13*ORÇAMENTO!$AF$7)/$H113*OFFSET(ORÇAMENTO!$X$15,ROW(AK113)-ROW(AK$15),0),
ROUND(ROUND(OFFSET($P113,0,AK$13),15-13*ORÇAMENTO!$AF$7)*OFFSET(ORÇAMENTO!$W$15,ROW(AK113)-ROW(AK$15),0),15-13*ORÇAMENTO!$AF$11)),0)</f>
        <v>0</v>
      </c>
      <c r="AM113" s="181">
        <f ca="1">IF($D113&lt;&gt;"Serviço",0,IF(AND(AUTOEVENTO="Manual",$M113=1),0,IF(OFFSET(CRONOPLE!$F$14,$M113,AM$13)="",10^12,OFFSET(CRONOPLE!$F$14,$M113,AM$13))))</f>
        <v>1000000000000</v>
      </c>
      <c r="AN113" s="181">
        <f ca="1">IF($D113&lt;&gt;"Serviço",0,IF(AND(AUTOEVENTO="Manual",$M113=1),0,IF(OFFSET(CRONOPLE!$F$14,$M113,AN$13)="",10^12,OFFSET(CRONOPLE!$F$14,$M113,AN$13))))</f>
        <v>1000000000000</v>
      </c>
      <c r="AO113" s="181">
        <f ca="1">IF($D113&lt;&gt;"Serviço",0,IF(AND(AUTOEVENTO="Manual",$M113=1),0,IF(OFFSET(CRONOPLE!$F$14,$M113,AO$13)="",10^12,OFFSET(CRONOPLE!$F$14,$M113,AO$13))))</f>
        <v>1000000000000</v>
      </c>
      <c r="AP113" s="181">
        <f ca="1">IF($D113&lt;&gt;"Serviço",0,IF(AND(AUTOEVENTO="Manual",$M113=1),0,IF(OFFSET(CRONOPLE!$F$14,$M113,AP$13)="",10^12,OFFSET(CRONOPLE!$F$14,$M113,AP$13))))</f>
        <v>1000000000000</v>
      </c>
      <c r="AQ113" s="181">
        <f ca="1">IF($D113&lt;&gt;"Serviço",0,IF(AND(AUTOEVENTO="Manual",$M113=1),0,IF(OFFSET(CRONOPLE!$F$14,$M113,AQ$13)="",10^12,OFFSET(CRONOPLE!$F$14,$M113,AQ$13))))</f>
        <v>1000000000000</v>
      </c>
      <c r="AR113" s="181">
        <f ca="1">IF($D113&lt;&gt;"Serviço",0,IF(AND(AUTOEVENTO="Manual",$M113=1),0,IF(OFFSET(CRONOPLE!$F$14,$M113,AR$13)="",10^12,OFFSET(CRONOPLE!$F$14,$M113,AR$13))))</f>
        <v>1000000000000</v>
      </c>
      <c r="AS113" s="181">
        <f ca="1">IF($D113&lt;&gt;"Serviço",0,IF(AND(AUTOEVENTO="Manual",$M113=1),0,IF(OFFSET(CRONOPLE!$F$14,$M113,AS$13)="",10^12,OFFSET(CRONOPLE!$F$14,$M113,AS$13))))</f>
        <v>1000000000000</v>
      </c>
      <c r="AT113" s="181">
        <f ca="1">IF($D113&lt;&gt;"Serviço",0,IF(AND(AUTOEVENTO="Manual",$M113=1),0,IF(OFFSET(CRONOPLE!$F$14,$M113,AT$13)="",10^12,OFFSET(CRONOPLE!$F$14,$M113,AT$13))))</f>
        <v>1000000000000</v>
      </c>
      <c r="AU113" s="181">
        <f ca="1">IF($D113&lt;&gt;"Serviço",0,IF(AND(AUTOEVENTO="Manual",$M113=1),0,IF(OFFSET(CRONOPLE!$F$14,$M113,AU$13)="",10^12,OFFSET(CRONOPLE!$F$14,$M113,AU$13))))</f>
        <v>1000000000000</v>
      </c>
      <c r="AV113" s="181">
        <f ca="1">IF($D113&lt;&gt;"Serviço",0,IF(AND(AUTOEVENTO="Manual",$M113=1),0,IF(OFFSET(CRONOPLE!$F$14,$M113,AV$13)="",10^12,OFFSET(CRONOPLE!$F$14,$M113,AV$13))))</f>
        <v>1000000000000</v>
      </c>
      <c r="AX113" s="182">
        <f ca="1">IF($D113&lt;&gt;"Serviço",0,IF(OR(AND(AUTOEVENTO="Manual",$M113=1),$M113&gt;(ROW(PLE.lastrow)-ROW(PLE.firstrow))),0,IF(OFFSET(PLE!$G$14,$M113,AX$13)="",10^12,OFFSET(PLE!$G$14,$M113,AX$13))))</f>
        <v>1000000000000</v>
      </c>
      <c r="AY113" s="182">
        <f ca="1">IF($D113&lt;&gt;"Serviço",0,IF(OR(AND(AUTOEVENTO="Manual",$M113=1),$M113&gt;(ROW(PLE.lastrow)-ROW(PLE.firstrow))),0,IF(OFFSET(PLE!$G$14,$M113,AY$13)="",10^12,OFFSET(PLE!$G$14,$M113,AY$13))))</f>
        <v>1000000000000</v>
      </c>
      <c r="AZ113" s="182">
        <f ca="1">IF($D113&lt;&gt;"Serviço",0,IF(OR(AND(AUTOEVENTO="Manual",$M113=1),$M113&gt;(ROW(PLE.lastrow)-ROW(PLE.firstrow))),0,IF(OFFSET(PLE!$G$14,$M113,AZ$13)="",10^12,OFFSET(PLE!$G$14,$M113,AZ$13))))</f>
        <v>1000000000000</v>
      </c>
      <c r="BA113" s="182">
        <f ca="1">IF($D113&lt;&gt;"Serviço",0,IF(OR(AND(AUTOEVENTO="Manual",$M113=1),$M113&gt;(ROW(PLE.lastrow)-ROW(PLE.firstrow))),0,IF(OFFSET(PLE!$G$14,$M113,BA$13)="",10^12,OFFSET(PLE!$G$14,$M113,BA$13))))</f>
        <v>1000000000000</v>
      </c>
      <c r="BB113" s="182">
        <f ca="1">IF($D113&lt;&gt;"Serviço",0,IF(OR(AND(AUTOEVENTO="Manual",$M113=1),$M113&gt;(ROW(PLE.lastrow)-ROW(PLE.firstrow))),0,IF(OFFSET(PLE!$G$14,$M113,BB$13)="",10^12,OFFSET(PLE!$G$14,$M113,BB$13))))</f>
        <v>1000000000000</v>
      </c>
      <c r="BC113" s="182">
        <f ca="1">IF($D113&lt;&gt;"Serviço",0,IF(OR(AND(AUTOEVENTO="Manual",$M113=1),$M113&gt;(ROW(PLE.lastrow)-ROW(PLE.firstrow))),0,IF(OFFSET(PLE!$G$14,$M113,BC$13)="",10^12,OFFSET(PLE!$G$14,$M113,BC$13))))</f>
        <v>1000000000000</v>
      </c>
      <c r="BD113" s="182">
        <f ca="1">IF($D113&lt;&gt;"Serviço",0,IF(OR(AND(AUTOEVENTO="Manual",$M113=1),$M113&gt;(ROW(PLE.lastrow)-ROW(PLE.firstrow))),0,IF(OFFSET(PLE!$G$14,$M113,BD$13)="",10^12,OFFSET(PLE!$G$14,$M113,BD$13))))</f>
        <v>1000000000000</v>
      </c>
      <c r="BE113" s="182">
        <f ca="1">IF($D113&lt;&gt;"Serviço",0,IF(OR(AND(AUTOEVENTO="Manual",$M113=1),$M113&gt;(ROW(PLE.lastrow)-ROW(PLE.firstrow))),0,IF(OFFSET(PLE!$G$14,$M113,BE$13)="",10^12,OFFSET(PLE!$G$14,$M113,BE$13))))</f>
        <v>1000000000000</v>
      </c>
      <c r="BF113" s="182">
        <f ca="1">IF($D113&lt;&gt;"Serviço",0,IF(OR(AND(AUTOEVENTO="Manual",$M113=1),$M113&gt;(ROW(PLE.lastrow)-ROW(PLE.firstrow))),0,IF(OFFSET(PLE!$G$14,$M113,BF$13)="",10^12,OFFSET(PLE!$G$14,$M113,BF$13))))</f>
        <v>1000000000000</v>
      </c>
      <c r="BG113" s="182">
        <f ca="1">IF($D113&lt;&gt;"Serviço",0,IF(OR(AND(AUTOEVENTO="Manual",$M113=1),$M113&gt;(ROW(PLE.lastrow)-ROW(PLE.firstrow))),0,IF(OFFSET(PLE!$G$14,$M113,BG$13)="",10^12,OFFSET(PLE!$G$14,$M113,BG$13))))</f>
        <v>1000000000000</v>
      </c>
    </row>
    <row r="114" spans="1:59" ht="25.5" x14ac:dyDescent="0.2">
      <c r="A114" s="7" t="str">
        <f t="shared" ca="1" si="8"/>
        <v>83</v>
      </c>
      <c r="B114" s="7" t="str">
        <f ca="1">OFFSET(ORÇAMENTO!C$15,ROW(B114)-ROW(B$15),0)</f>
        <v>S</v>
      </c>
      <c r="C114" s="7" t="str">
        <f ca="1">OFFSET(ORÇAMENTO!L$15,ROW(C114)-ROW(C$15),0)</f>
        <v>F</v>
      </c>
      <c r="D114" s="118" t="str">
        <f ca="1">OFFSET(ORÇAMENTO!N$15,ROW(D114)-ROW(D$15),0)</f>
        <v>Serviço</v>
      </c>
      <c r="E114" s="119" t="str">
        <f ca="1">OFFSET(ORÇAMENTO!O$15,ROW(E114)-ROW(E$15),0)</f>
        <v>6.3.16.</v>
      </c>
      <c r="F114" s="172" t="str">
        <f ca="1">OFFSET(ORÇAMENTO!R$15,ROW(F114)-ROW(F$15),0)</f>
        <v>SUMIDOURO</v>
      </c>
      <c r="G114" s="173" t="str">
        <f ca="1">IF($D114&lt;&gt;"Serviço","",OFFSET(ORÇAMENTO!S$15,ROW(G114)-ROW(G$15),0))</f>
        <v>UN</v>
      </c>
      <c r="H114" s="124">
        <f ca="1">IF($D114&lt;&gt;"Serviço",0,IF(ACOMPANHAMENTO="BM",ROUND(OFFSET(ORÇAMENTO!AJ$15,ROW(H114)-ROW(H$15),0),15-13*ORÇAMENTO!$AF$7),SUMPRODUCT(($Q$12:$AA$12&lt;&gt;"")*ROUND($Q114:$AA114,15-13*ORÇAMENTO!$AF$7))))</f>
        <v>1</v>
      </c>
      <c r="I114" s="561"/>
      <c r="K114" s="174"/>
      <c r="L114" s="175" t="s">
        <v>255</v>
      </c>
      <c r="M114" s="176">
        <f ca="1">IF($D114&lt;&gt;"Serviço","",IF(AUTOEVENTO="manual",$A114,IF(ISERROR(MATCH($A114,$A$15:OFFSET($A114,-1,0),0)),MAX($M$15:OFFSET(M114,-1,0))+1,INDEX($M$15:OFFSET(M114,-1,0),MATCH($A114,$A$15:OFFSET($A114,-1,0),0)))))</f>
        <v>16</v>
      </c>
      <c r="N114" s="177" t="str">
        <f ca="1">IF($D114&lt;&gt;"Serviço","",IF(AUTOEVENTO="Manual",IF($A114=0,"&lt;-- defina o número do agrupador",OFFSET(EVENTOS!$D$14,$A114,0)),OFFSET($F$15,$A114,0)))</f>
        <v xml:space="preserve">INSTALAÇÕES HIDROSSANITÁRIAS </v>
      </c>
      <c r="O114" s="178"/>
      <c r="Q114" s="178"/>
      <c r="R114" s="179"/>
      <c r="S114" s="179"/>
      <c r="T114" s="179"/>
      <c r="U114" s="179"/>
      <c r="V114" s="179"/>
      <c r="W114" s="179"/>
      <c r="X114" s="179"/>
      <c r="Y114" s="179"/>
      <c r="Z114" s="180"/>
      <c r="AB114" s="544">
        <f ca="1">IF(AND($D114="Serviço",AB$12&lt;&gt;0,$H114&gt;0,OR(AUTOEVENTO&lt;&gt;"manual",$M114&lt;&gt;1)),
IF(Import.TipoArredondamento&lt;&gt;"TransfereGOV",
ROUND(OFFSET($P114,0,AB$13),15-13*ORÇAMENTO!$AF$7)/$H114*OFFSET(ORÇAMENTO!$X$15,ROW(AB114)-ROW(AB$15),0),
ROUND(ROUND(OFFSET($P114,0,AB$13),15-13*ORÇAMENTO!$AF$7)*OFFSET(ORÇAMENTO!$W$15,ROW(AB114)-ROW(AB$15),0),15-13*ORÇAMENTO!$AF$11)),0)</f>
        <v>0</v>
      </c>
      <c r="AC114" s="545">
        <f ca="1">IF(AND($D114="Serviço",AC$12&lt;&gt;0,$H114&gt;0,OR(AUTOEVENTO&lt;&gt;"manual",$M114&lt;&gt;1)),
IF(Import.TipoArredondamento&lt;&gt;"TransfereGOV",
ROUND(OFFSET($P114,0,AC$13),15-13*ORÇAMENTO!$AF$7)/$H114*OFFSET(ORÇAMENTO!$X$15,ROW(AC114)-ROW(AC$15),0),
ROUND(ROUND(OFFSET($P114,0,AC$13),15-13*ORÇAMENTO!$AF$7)*OFFSET(ORÇAMENTO!$W$15,ROW(AC114)-ROW(AC$15),0),15-13*ORÇAMENTO!$AF$11)),0)</f>
        <v>0</v>
      </c>
      <c r="AD114" s="545">
        <f ca="1">IF(AND($D114="Serviço",AD$12&lt;&gt;0,$H114&gt;0,OR(AUTOEVENTO&lt;&gt;"manual",$M114&lt;&gt;1)),
IF(Import.TipoArredondamento&lt;&gt;"TransfereGOV",
ROUND(OFFSET($P114,0,AD$13),15-13*ORÇAMENTO!$AF$7)/$H114*OFFSET(ORÇAMENTO!$X$15,ROW(AD114)-ROW(AD$15),0),
ROUND(ROUND(OFFSET($P114,0,AD$13),15-13*ORÇAMENTO!$AF$7)*OFFSET(ORÇAMENTO!$W$15,ROW(AD114)-ROW(AD$15),0),15-13*ORÇAMENTO!$AF$11)),0)</f>
        <v>0</v>
      </c>
      <c r="AE114" s="545">
        <f ca="1">IF(AND($D114="Serviço",AE$12&lt;&gt;0,$H114&gt;0,OR(AUTOEVENTO&lt;&gt;"manual",$M114&lt;&gt;1)),
IF(Import.TipoArredondamento&lt;&gt;"TransfereGOV",
ROUND(OFFSET($P114,0,AE$13),15-13*ORÇAMENTO!$AF$7)/$H114*OFFSET(ORÇAMENTO!$X$15,ROW(AE114)-ROW(AE$15),0),
ROUND(ROUND(OFFSET($P114,0,AE$13),15-13*ORÇAMENTO!$AF$7)*OFFSET(ORÇAMENTO!$W$15,ROW(AE114)-ROW(AE$15),0),15-13*ORÇAMENTO!$AF$11)),0)</f>
        <v>0</v>
      </c>
      <c r="AF114" s="545">
        <f ca="1">IF(AND($D114="Serviço",AF$12&lt;&gt;0,$H114&gt;0,OR(AUTOEVENTO&lt;&gt;"manual",$M114&lt;&gt;1)),
IF(Import.TipoArredondamento&lt;&gt;"TransfereGOV",
ROUND(OFFSET($P114,0,AF$13),15-13*ORÇAMENTO!$AF$7)/$H114*OFFSET(ORÇAMENTO!$X$15,ROW(AF114)-ROW(AF$15),0),
ROUND(ROUND(OFFSET($P114,0,AF$13),15-13*ORÇAMENTO!$AF$7)*OFFSET(ORÇAMENTO!$W$15,ROW(AF114)-ROW(AF$15),0),15-13*ORÇAMENTO!$AF$11)),0)</f>
        <v>0</v>
      </c>
      <c r="AG114" s="545">
        <f ca="1">IF(AND($D114="Serviço",AG$12&lt;&gt;0,$H114&gt;0,OR(AUTOEVENTO&lt;&gt;"manual",$M114&lt;&gt;1)),
IF(Import.TipoArredondamento&lt;&gt;"TransfereGOV",
ROUND(OFFSET($P114,0,AG$13),15-13*ORÇAMENTO!$AF$7)/$H114*OFFSET(ORÇAMENTO!$X$15,ROW(AG114)-ROW(AG$15),0),
ROUND(ROUND(OFFSET($P114,0,AG$13),15-13*ORÇAMENTO!$AF$7)*OFFSET(ORÇAMENTO!$W$15,ROW(AG114)-ROW(AG$15),0),15-13*ORÇAMENTO!$AF$11)),0)</f>
        <v>0</v>
      </c>
      <c r="AH114" s="545">
        <f ca="1">IF(AND($D114="Serviço",AH$12&lt;&gt;0,$H114&gt;0,OR(AUTOEVENTO&lt;&gt;"manual",$M114&lt;&gt;1)),
IF(Import.TipoArredondamento&lt;&gt;"TransfereGOV",
ROUND(OFFSET($P114,0,AH$13),15-13*ORÇAMENTO!$AF$7)/$H114*OFFSET(ORÇAMENTO!$X$15,ROW(AH114)-ROW(AH$15),0),
ROUND(ROUND(OFFSET($P114,0,AH$13),15-13*ORÇAMENTO!$AF$7)*OFFSET(ORÇAMENTO!$W$15,ROW(AH114)-ROW(AH$15),0),15-13*ORÇAMENTO!$AF$11)),0)</f>
        <v>0</v>
      </c>
      <c r="AI114" s="545">
        <f ca="1">IF(AND($D114="Serviço",AI$12&lt;&gt;0,$H114&gt;0,OR(AUTOEVENTO&lt;&gt;"manual",$M114&lt;&gt;1)),
IF(Import.TipoArredondamento&lt;&gt;"TransfereGOV",
ROUND(OFFSET($P114,0,AI$13),15-13*ORÇAMENTO!$AF$7)/$H114*OFFSET(ORÇAMENTO!$X$15,ROW(AI114)-ROW(AI$15),0),
ROUND(ROUND(OFFSET($P114,0,AI$13),15-13*ORÇAMENTO!$AF$7)*OFFSET(ORÇAMENTO!$W$15,ROW(AI114)-ROW(AI$15),0),15-13*ORÇAMENTO!$AF$11)),0)</f>
        <v>0</v>
      </c>
      <c r="AJ114" s="545">
        <f ca="1">IF(AND($D114="Serviço",AJ$12&lt;&gt;0,$H114&gt;0,OR(AUTOEVENTO&lt;&gt;"manual",$M114&lt;&gt;1)),
IF(Import.TipoArredondamento&lt;&gt;"TransfereGOV",
ROUND(OFFSET($P114,0,AJ$13),15-13*ORÇAMENTO!$AF$7)/$H114*OFFSET(ORÇAMENTO!$X$15,ROW(AJ114)-ROW(AJ$15),0),
ROUND(ROUND(OFFSET($P114,0,AJ$13),15-13*ORÇAMENTO!$AF$7)*OFFSET(ORÇAMENTO!$W$15,ROW(AJ114)-ROW(AJ$15),0),15-13*ORÇAMENTO!$AF$11)),0)</f>
        <v>0</v>
      </c>
      <c r="AK114" s="546">
        <f ca="1">IF(AND($D114="Serviço",AK$12&lt;&gt;0,$H114&gt;0,OR(AUTOEVENTO&lt;&gt;"manual",$M114&lt;&gt;1)),
IF(Import.TipoArredondamento&lt;&gt;"TransfereGOV",
ROUND(OFFSET($P114,0,AK$13),15-13*ORÇAMENTO!$AF$7)/$H114*OFFSET(ORÇAMENTO!$X$15,ROW(AK114)-ROW(AK$15),0),
ROUND(ROUND(OFFSET($P114,0,AK$13),15-13*ORÇAMENTO!$AF$7)*OFFSET(ORÇAMENTO!$W$15,ROW(AK114)-ROW(AK$15),0),15-13*ORÇAMENTO!$AF$11)),0)</f>
        <v>0</v>
      </c>
      <c r="AM114" s="181">
        <f ca="1">IF($D114&lt;&gt;"Serviço",0,IF(AND(AUTOEVENTO="Manual",$M114=1),0,IF(OFFSET(CRONOPLE!$F$14,$M114,AM$13)="",10^12,OFFSET(CRONOPLE!$F$14,$M114,AM$13))))</f>
        <v>1000000000000</v>
      </c>
      <c r="AN114" s="181">
        <f ca="1">IF($D114&lt;&gt;"Serviço",0,IF(AND(AUTOEVENTO="Manual",$M114=1),0,IF(OFFSET(CRONOPLE!$F$14,$M114,AN$13)="",10^12,OFFSET(CRONOPLE!$F$14,$M114,AN$13))))</f>
        <v>1000000000000</v>
      </c>
      <c r="AO114" s="181">
        <f ca="1">IF($D114&lt;&gt;"Serviço",0,IF(AND(AUTOEVENTO="Manual",$M114=1),0,IF(OFFSET(CRONOPLE!$F$14,$M114,AO$13)="",10^12,OFFSET(CRONOPLE!$F$14,$M114,AO$13))))</f>
        <v>1000000000000</v>
      </c>
      <c r="AP114" s="181">
        <f ca="1">IF($D114&lt;&gt;"Serviço",0,IF(AND(AUTOEVENTO="Manual",$M114=1),0,IF(OFFSET(CRONOPLE!$F$14,$M114,AP$13)="",10^12,OFFSET(CRONOPLE!$F$14,$M114,AP$13))))</f>
        <v>1000000000000</v>
      </c>
      <c r="AQ114" s="181">
        <f ca="1">IF($D114&lt;&gt;"Serviço",0,IF(AND(AUTOEVENTO="Manual",$M114=1),0,IF(OFFSET(CRONOPLE!$F$14,$M114,AQ$13)="",10^12,OFFSET(CRONOPLE!$F$14,$M114,AQ$13))))</f>
        <v>1000000000000</v>
      </c>
      <c r="AR114" s="181">
        <f ca="1">IF($D114&lt;&gt;"Serviço",0,IF(AND(AUTOEVENTO="Manual",$M114=1),0,IF(OFFSET(CRONOPLE!$F$14,$M114,AR$13)="",10^12,OFFSET(CRONOPLE!$F$14,$M114,AR$13))))</f>
        <v>1000000000000</v>
      </c>
      <c r="AS114" s="181">
        <f ca="1">IF($D114&lt;&gt;"Serviço",0,IF(AND(AUTOEVENTO="Manual",$M114=1),0,IF(OFFSET(CRONOPLE!$F$14,$M114,AS$13)="",10^12,OFFSET(CRONOPLE!$F$14,$M114,AS$13))))</f>
        <v>1000000000000</v>
      </c>
      <c r="AT114" s="181">
        <f ca="1">IF($D114&lt;&gt;"Serviço",0,IF(AND(AUTOEVENTO="Manual",$M114=1),0,IF(OFFSET(CRONOPLE!$F$14,$M114,AT$13)="",10^12,OFFSET(CRONOPLE!$F$14,$M114,AT$13))))</f>
        <v>1000000000000</v>
      </c>
      <c r="AU114" s="181">
        <f ca="1">IF($D114&lt;&gt;"Serviço",0,IF(AND(AUTOEVENTO="Manual",$M114=1),0,IF(OFFSET(CRONOPLE!$F$14,$M114,AU$13)="",10^12,OFFSET(CRONOPLE!$F$14,$M114,AU$13))))</f>
        <v>1000000000000</v>
      </c>
      <c r="AV114" s="181">
        <f ca="1">IF($D114&lt;&gt;"Serviço",0,IF(AND(AUTOEVENTO="Manual",$M114=1),0,IF(OFFSET(CRONOPLE!$F$14,$M114,AV$13)="",10^12,OFFSET(CRONOPLE!$F$14,$M114,AV$13))))</f>
        <v>1000000000000</v>
      </c>
      <c r="AX114" s="182">
        <f ca="1">IF($D114&lt;&gt;"Serviço",0,IF(OR(AND(AUTOEVENTO="Manual",$M114=1),$M114&gt;(ROW(PLE.lastrow)-ROW(PLE.firstrow))),0,IF(OFFSET(PLE!$G$14,$M114,AX$13)="",10^12,OFFSET(PLE!$G$14,$M114,AX$13))))</f>
        <v>1000000000000</v>
      </c>
      <c r="AY114" s="182">
        <f ca="1">IF($D114&lt;&gt;"Serviço",0,IF(OR(AND(AUTOEVENTO="Manual",$M114=1),$M114&gt;(ROW(PLE.lastrow)-ROW(PLE.firstrow))),0,IF(OFFSET(PLE!$G$14,$M114,AY$13)="",10^12,OFFSET(PLE!$G$14,$M114,AY$13))))</f>
        <v>1000000000000</v>
      </c>
      <c r="AZ114" s="182">
        <f ca="1">IF($D114&lt;&gt;"Serviço",0,IF(OR(AND(AUTOEVENTO="Manual",$M114=1),$M114&gt;(ROW(PLE.lastrow)-ROW(PLE.firstrow))),0,IF(OFFSET(PLE!$G$14,$M114,AZ$13)="",10^12,OFFSET(PLE!$G$14,$M114,AZ$13))))</f>
        <v>1000000000000</v>
      </c>
      <c r="BA114" s="182">
        <f ca="1">IF($D114&lt;&gt;"Serviço",0,IF(OR(AND(AUTOEVENTO="Manual",$M114=1),$M114&gt;(ROW(PLE.lastrow)-ROW(PLE.firstrow))),0,IF(OFFSET(PLE!$G$14,$M114,BA$13)="",10^12,OFFSET(PLE!$G$14,$M114,BA$13))))</f>
        <v>1000000000000</v>
      </c>
      <c r="BB114" s="182">
        <f ca="1">IF($D114&lt;&gt;"Serviço",0,IF(OR(AND(AUTOEVENTO="Manual",$M114=1),$M114&gt;(ROW(PLE.lastrow)-ROW(PLE.firstrow))),0,IF(OFFSET(PLE!$G$14,$M114,BB$13)="",10^12,OFFSET(PLE!$G$14,$M114,BB$13))))</f>
        <v>1000000000000</v>
      </c>
      <c r="BC114" s="182">
        <f ca="1">IF($D114&lt;&gt;"Serviço",0,IF(OR(AND(AUTOEVENTO="Manual",$M114=1),$M114&gt;(ROW(PLE.lastrow)-ROW(PLE.firstrow))),0,IF(OFFSET(PLE!$G$14,$M114,BC$13)="",10^12,OFFSET(PLE!$G$14,$M114,BC$13))))</f>
        <v>1000000000000</v>
      </c>
      <c r="BD114" s="182">
        <f ca="1">IF($D114&lt;&gt;"Serviço",0,IF(OR(AND(AUTOEVENTO="Manual",$M114=1),$M114&gt;(ROW(PLE.lastrow)-ROW(PLE.firstrow))),0,IF(OFFSET(PLE!$G$14,$M114,BD$13)="",10^12,OFFSET(PLE!$G$14,$M114,BD$13))))</f>
        <v>1000000000000</v>
      </c>
      <c r="BE114" s="182">
        <f ca="1">IF($D114&lt;&gt;"Serviço",0,IF(OR(AND(AUTOEVENTO="Manual",$M114=1),$M114&gt;(ROW(PLE.lastrow)-ROW(PLE.firstrow))),0,IF(OFFSET(PLE!$G$14,$M114,BE$13)="",10^12,OFFSET(PLE!$G$14,$M114,BE$13))))</f>
        <v>1000000000000</v>
      </c>
      <c r="BF114" s="182">
        <f ca="1">IF($D114&lt;&gt;"Serviço",0,IF(OR(AND(AUTOEVENTO="Manual",$M114=1),$M114&gt;(ROW(PLE.lastrow)-ROW(PLE.firstrow))),0,IF(OFFSET(PLE!$G$14,$M114,BF$13)="",10^12,OFFSET(PLE!$G$14,$M114,BF$13))))</f>
        <v>1000000000000</v>
      </c>
      <c r="BG114" s="182">
        <f ca="1">IF($D114&lt;&gt;"Serviço",0,IF(OR(AND(AUTOEVENTO="Manual",$M114=1),$M114&gt;(ROW(PLE.lastrow)-ROW(PLE.firstrow))),0,IF(OFFSET(PLE!$G$14,$M114,BG$13)="",10^12,OFFSET(PLE!$G$14,$M114,BG$13))))</f>
        <v>1000000000000</v>
      </c>
    </row>
    <row r="115" spans="1:59" ht="25.5" x14ac:dyDescent="0.2">
      <c r="A115" s="7" t="str">
        <f ca="1">IF(AUTOEVENTO="Manual",IF(K115&lt;&gt;"",MIN(VALUE(LEFT(K115,FIND(".",K115)-1)),COUNTA(EVENTOS.Lista)),0),IF(OR($B115&gt;AUTOEVENTO,$B115="S",$B115=0),SUBSTITUTE(OFFSET($A115,-1,0),IF($D115="Serviço",".",""),""),ROW(A115)-ROW($A$15)&amp;"."))</f>
        <v>83</v>
      </c>
      <c r="B115" s="7" t="str">
        <f ca="1">OFFSET(ORÇAMENTO!C$15,ROW(B115)-ROW(B$15),0)</f>
        <v>S</v>
      </c>
      <c r="C115" s="7" t="str">
        <f ca="1">OFFSET(ORÇAMENTO!L$15,ROW(C115)-ROW(C$15),0)</f>
        <v>F</v>
      </c>
      <c r="D115" s="118" t="str">
        <f ca="1">OFFSET(ORÇAMENTO!N$15,ROW(D115)-ROW(D$15),0)</f>
        <v>Serviço</v>
      </c>
      <c r="E115" s="119" t="str">
        <f ca="1">OFFSET(ORÇAMENTO!O$15,ROW(E115)-ROW(E$15),0)</f>
        <v>6.3.17.</v>
      </c>
      <c r="F115" s="172" t="str">
        <f ca="1">OFFSET(ORÇAMENTO!R$15,ROW(F115)-ROW(F$15),0)</f>
        <v>CAIXA DE GORDURA PEQUENA (CAPACIDADE: 19 L), CIRCULAR, EM PVC, DIÂMETRO INTERNO= 0,3 M. AF_12/2020</v>
      </c>
      <c r="G115" s="173" t="str">
        <f ca="1">IF($D115&lt;&gt;"Serviço","",OFFSET(ORÇAMENTO!S$15,ROW(G115)-ROW(G$15),0))</f>
        <v>UN</v>
      </c>
      <c r="H115" s="124">
        <f ca="1">IF($D115&lt;&gt;"Serviço",0,IF(ACOMPANHAMENTO="BM",ROUND(OFFSET(ORÇAMENTO!AJ$15,ROW(H115)-ROW(H$15),0),15-13*ORÇAMENTO!$AF$7),SUMPRODUCT(($Q$12:$AA$12&lt;&gt;"")*ROUND($Q115:$AA115,15-13*ORÇAMENTO!$AF$7))))</f>
        <v>1</v>
      </c>
      <c r="I115" s="561"/>
      <c r="K115" s="174"/>
      <c r="L115" s="175" t="s">
        <v>255</v>
      </c>
      <c r="M115" s="176">
        <f ca="1">IF($D115&lt;&gt;"Serviço","",IF(AUTOEVENTO="manual",$A115,IF(ISERROR(MATCH($A115,$A$15:OFFSET($A115,-1,0),0)),MAX($M$15:OFFSET(M115,-1,0))+1,INDEX($M$15:OFFSET(M115,-1,0),MATCH($A115,$A$15:OFFSET($A115,-1,0),0)))))</f>
        <v>16</v>
      </c>
      <c r="N115" s="177" t="str">
        <f ca="1">IF($D115&lt;&gt;"Serviço","",IF(AUTOEVENTO="Manual",IF($A115=0,"&lt;-- defina o número do agrupador",OFFSET(EVENTOS!$D$14,$A115,0)),OFFSET($F$15,$A115,0)))</f>
        <v xml:space="preserve">INSTALAÇÕES HIDROSSANITÁRIAS </v>
      </c>
      <c r="O115" s="178"/>
      <c r="Q115" s="178"/>
      <c r="R115" s="179"/>
      <c r="S115" s="179"/>
      <c r="T115" s="179"/>
      <c r="U115" s="179"/>
      <c r="V115" s="179"/>
      <c r="W115" s="179"/>
      <c r="X115" s="179"/>
      <c r="Y115" s="179"/>
      <c r="Z115" s="180"/>
      <c r="AB115" s="544">
        <f ca="1">IF(AND($D115="Serviço",AB$12&lt;&gt;0,$H115&gt;0,OR(AUTOEVENTO&lt;&gt;"manual",$M115&lt;&gt;1)),
IF(Import.TipoArredondamento&lt;&gt;"TransfereGOV",
ROUND(OFFSET($P115,0,AB$13),15-13*ORÇAMENTO!$AF$7)/$H115*OFFSET(ORÇAMENTO!$X$15,ROW(AB115)-ROW(AB$15),0),
ROUND(ROUND(OFFSET($P115,0,AB$13),15-13*ORÇAMENTO!$AF$7)*OFFSET(ORÇAMENTO!$W$15,ROW(AB115)-ROW(AB$15),0),15-13*ORÇAMENTO!$AF$11)),0)</f>
        <v>0</v>
      </c>
      <c r="AC115" s="545">
        <f ca="1">IF(AND($D115="Serviço",AC$12&lt;&gt;0,$H115&gt;0,OR(AUTOEVENTO&lt;&gt;"manual",$M115&lt;&gt;1)),
IF(Import.TipoArredondamento&lt;&gt;"TransfereGOV",
ROUND(OFFSET($P115,0,AC$13),15-13*ORÇAMENTO!$AF$7)/$H115*OFFSET(ORÇAMENTO!$X$15,ROW(AC115)-ROW(AC$15),0),
ROUND(ROUND(OFFSET($P115,0,AC$13),15-13*ORÇAMENTO!$AF$7)*OFFSET(ORÇAMENTO!$W$15,ROW(AC115)-ROW(AC$15),0),15-13*ORÇAMENTO!$AF$11)),0)</f>
        <v>0</v>
      </c>
      <c r="AD115" s="545">
        <f ca="1">IF(AND($D115="Serviço",AD$12&lt;&gt;0,$H115&gt;0,OR(AUTOEVENTO&lt;&gt;"manual",$M115&lt;&gt;1)),
IF(Import.TipoArredondamento&lt;&gt;"TransfereGOV",
ROUND(OFFSET($P115,0,AD$13),15-13*ORÇAMENTO!$AF$7)/$H115*OFFSET(ORÇAMENTO!$X$15,ROW(AD115)-ROW(AD$15),0),
ROUND(ROUND(OFFSET($P115,0,AD$13),15-13*ORÇAMENTO!$AF$7)*OFFSET(ORÇAMENTO!$W$15,ROW(AD115)-ROW(AD$15),0),15-13*ORÇAMENTO!$AF$11)),0)</f>
        <v>0</v>
      </c>
      <c r="AE115" s="545">
        <f ca="1">IF(AND($D115="Serviço",AE$12&lt;&gt;0,$H115&gt;0,OR(AUTOEVENTO&lt;&gt;"manual",$M115&lt;&gt;1)),
IF(Import.TipoArredondamento&lt;&gt;"TransfereGOV",
ROUND(OFFSET($P115,0,AE$13),15-13*ORÇAMENTO!$AF$7)/$H115*OFFSET(ORÇAMENTO!$X$15,ROW(AE115)-ROW(AE$15),0),
ROUND(ROUND(OFFSET($P115,0,AE$13),15-13*ORÇAMENTO!$AF$7)*OFFSET(ORÇAMENTO!$W$15,ROW(AE115)-ROW(AE$15),0),15-13*ORÇAMENTO!$AF$11)),0)</f>
        <v>0</v>
      </c>
      <c r="AF115" s="545">
        <f ca="1">IF(AND($D115="Serviço",AF$12&lt;&gt;0,$H115&gt;0,OR(AUTOEVENTO&lt;&gt;"manual",$M115&lt;&gt;1)),
IF(Import.TipoArredondamento&lt;&gt;"TransfereGOV",
ROUND(OFFSET($P115,0,AF$13),15-13*ORÇAMENTO!$AF$7)/$H115*OFFSET(ORÇAMENTO!$X$15,ROW(AF115)-ROW(AF$15),0),
ROUND(ROUND(OFFSET($P115,0,AF$13),15-13*ORÇAMENTO!$AF$7)*OFFSET(ORÇAMENTO!$W$15,ROW(AF115)-ROW(AF$15),0),15-13*ORÇAMENTO!$AF$11)),0)</f>
        <v>0</v>
      </c>
      <c r="AG115" s="545">
        <f ca="1">IF(AND($D115="Serviço",AG$12&lt;&gt;0,$H115&gt;0,OR(AUTOEVENTO&lt;&gt;"manual",$M115&lt;&gt;1)),
IF(Import.TipoArredondamento&lt;&gt;"TransfereGOV",
ROUND(OFFSET($P115,0,AG$13),15-13*ORÇAMENTO!$AF$7)/$H115*OFFSET(ORÇAMENTO!$X$15,ROW(AG115)-ROW(AG$15),0),
ROUND(ROUND(OFFSET($P115,0,AG$13),15-13*ORÇAMENTO!$AF$7)*OFFSET(ORÇAMENTO!$W$15,ROW(AG115)-ROW(AG$15),0),15-13*ORÇAMENTO!$AF$11)),0)</f>
        <v>0</v>
      </c>
      <c r="AH115" s="545">
        <f ca="1">IF(AND($D115="Serviço",AH$12&lt;&gt;0,$H115&gt;0,OR(AUTOEVENTO&lt;&gt;"manual",$M115&lt;&gt;1)),
IF(Import.TipoArredondamento&lt;&gt;"TransfereGOV",
ROUND(OFFSET($P115,0,AH$13),15-13*ORÇAMENTO!$AF$7)/$H115*OFFSET(ORÇAMENTO!$X$15,ROW(AH115)-ROW(AH$15),0),
ROUND(ROUND(OFFSET($P115,0,AH$13),15-13*ORÇAMENTO!$AF$7)*OFFSET(ORÇAMENTO!$W$15,ROW(AH115)-ROW(AH$15),0),15-13*ORÇAMENTO!$AF$11)),0)</f>
        <v>0</v>
      </c>
      <c r="AI115" s="545">
        <f ca="1">IF(AND($D115="Serviço",AI$12&lt;&gt;0,$H115&gt;0,OR(AUTOEVENTO&lt;&gt;"manual",$M115&lt;&gt;1)),
IF(Import.TipoArredondamento&lt;&gt;"TransfereGOV",
ROUND(OFFSET($P115,0,AI$13),15-13*ORÇAMENTO!$AF$7)/$H115*OFFSET(ORÇAMENTO!$X$15,ROW(AI115)-ROW(AI$15),0),
ROUND(ROUND(OFFSET($P115,0,AI$13),15-13*ORÇAMENTO!$AF$7)*OFFSET(ORÇAMENTO!$W$15,ROW(AI115)-ROW(AI$15),0),15-13*ORÇAMENTO!$AF$11)),0)</f>
        <v>0</v>
      </c>
      <c r="AJ115" s="545">
        <f ca="1">IF(AND($D115="Serviço",AJ$12&lt;&gt;0,$H115&gt;0,OR(AUTOEVENTO&lt;&gt;"manual",$M115&lt;&gt;1)),
IF(Import.TipoArredondamento&lt;&gt;"TransfereGOV",
ROUND(OFFSET($P115,0,AJ$13),15-13*ORÇAMENTO!$AF$7)/$H115*OFFSET(ORÇAMENTO!$X$15,ROW(AJ115)-ROW(AJ$15),0),
ROUND(ROUND(OFFSET($P115,0,AJ$13),15-13*ORÇAMENTO!$AF$7)*OFFSET(ORÇAMENTO!$W$15,ROW(AJ115)-ROW(AJ$15),0),15-13*ORÇAMENTO!$AF$11)),0)</f>
        <v>0</v>
      </c>
      <c r="AK115" s="546">
        <f ca="1">IF(AND($D115="Serviço",AK$12&lt;&gt;0,$H115&gt;0,OR(AUTOEVENTO&lt;&gt;"manual",$M115&lt;&gt;1)),
IF(Import.TipoArredondamento&lt;&gt;"TransfereGOV",
ROUND(OFFSET($P115,0,AK$13),15-13*ORÇAMENTO!$AF$7)/$H115*OFFSET(ORÇAMENTO!$X$15,ROW(AK115)-ROW(AK$15),0),
ROUND(ROUND(OFFSET($P115,0,AK$13),15-13*ORÇAMENTO!$AF$7)*OFFSET(ORÇAMENTO!$W$15,ROW(AK115)-ROW(AK$15),0),15-13*ORÇAMENTO!$AF$11)),0)</f>
        <v>0</v>
      </c>
      <c r="AM115" s="181">
        <f ca="1">IF($D115&lt;&gt;"Serviço",0,IF(AND(AUTOEVENTO="Manual",$M115=1),0,IF(OFFSET(CRONOPLE!$F$14,$M115,AM$13)="",10^12,OFFSET(CRONOPLE!$F$14,$M115,AM$13))))</f>
        <v>1000000000000</v>
      </c>
      <c r="AN115" s="181">
        <f ca="1">IF($D115&lt;&gt;"Serviço",0,IF(AND(AUTOEVENTO="Manual",$M115=1),0,IF(OFFSET(CRONOPLE!$F$14,$M115,AN$13)="",10^12,OFFSET(CRONOPLE!$F$14,$M115,AN$13))))</f>
        <v>1000000000000</v>
      </c>
      <c r="AO115" s="181">
        <f ca="1">IF($D115&lt;&gt;"Serviço",0,IF(AND(AUTOEVENTO="Manual",$M115=1),0,IF(OFFSET(CRONOPLE!$F$14,$M115,AO$13)="",10^12,OFFSET(CRONOPLE!$F$14,$M115,AO$13))))</f>
        <v>1000000000000</v>
      </c>
      <c r="AP115" s="181">
        <f ca="1">IF($D115&lt;&gt;"Serviço",0,IF(AND(AUTOEVENTO="Manual",$M115=1),0,IF(OFFSET(CRONOPLE!$F$14,$M115,AP$13)="",10^12,OFFSET(CRONOPLE!$F$14,$M115,AP$13))))</f>
        <v>1000000000000</v>
      </c>
      <c r="AQ115" s="181">
        <f ca="1">IF($D115&lt;&gt;"Serviço",0,IF(AND(AUTOEVENTO="Manual",$M115=1),0,IF(OFFSET(CRONOPLE!$F$14,$M115,AQ$13)="",10^12,OFFSET(CRONOPLE!$F$14,$M115,AQ$13))))</f>
        <v>1000000000000</v>
      </c>
      <c r="AR115" s="181">
        <f ca="1">IF($D115&lt;&gt;"Serviço",0,IF(AND(AUTOEVENTO="Manual",$M115=1),0,IF(OFFSET(CRONOPLE!$F$14,$M115,AR$13)="",10^12,OFFSET(CRONOPLE!$F$14,$M115,AR$13))))</f>
        <v>1000000000000</v>
      </c>
      <c r="AS115" s="181">
        <f ca="1">IF($D115&lt;&gt;"Serviço",0,IF(AND(AUTOEVENTO="Manual",$M115=1),0,IF(OFFSET(CRONOPLE!$F$14,$M115,AS$13)="",10^12,OFFSET(CRONOPLE!$F$14,$M115,AS$13))))</f>
        <v>1000000000000</v>
      </c>
      <c r="AT115" s="181">
        <f ca="1">IF($D115&lt;&gt;"Serviço",0,IF(AND(AUTOEVENTO="Manual",$M115=1),0,IF(OFFSET(CRONOPLE!$F$14,$M115,AT$13)="",10^12,OFFSET(CRONOPLE!$F$14,$M115,AT$13))))</f>
        <v>1000000000000</v>
      </c>
      <c r="AU115" s="181">
        <f ca="1">IF($D115&lt;&gt;"Serviço",0,IF(AND(AUTOEVENTO="Manual",$M115=1),0,IF(OFFSET(CRONOPLE!$F$14,$M115,AU$13)="",10^12,OFFSET(CRONOPLE!$F$14,$M115,AU$13))))</f>
        <v>1000000000000</v>
      </c>
      <c r="AV115" s="181">
        <f ca="1">IF($D115&lt;&gt;"Serviço",0,IF(AND(AUTOEVENTO="Manual",$M115=1),0,IF(OFFSET(CRONOPLE!$F$14,$M115,AV$13)="",10^12,OFFSET(CRONOPLE!$F$14,$M115,AV$13))))</f>
        <v>1000000000000</v>
      </c>
      <c r="AX115" s="182">
        <f ca="1">IF($D115&lt;&gt;"Serviço",0,IF(OR(AND(AUTOEVENTO="Manual",$M115=1),$M115&gt;(ROW(PLE.lastrow)-ROW(PLE.firstrow))),0,IF(OFFSET(PLE!$G$14,$M115,AX$13)="",10^12,OFFSET(PLE!$G$14,$M115,AX$13))))</f>
        <v>1000000000000</v>
      </c>
      <c r="AY115" s="182">
        <f ca="1">IF($D115&lt;&gt;"Serviço",0,IF(OR(AND(AUTOEVENTO="Manual",$M115=1),$M115&gt;(ROW(PLE.lastrow)-ROW(PLE.firstrow))),0,IF(OFFSET(PLE!$G$14,$M115,AY$13)="",10^12,OFFSET(PLE!$G$14,$M115,AY$13))))</f>
        <v>1000000000000</v>
      </c>
      <c r="AZ115" s="182">
        <f ca="1">IF($D115&lt;&gt;"Serviço",0,IF(OR(AND(AUTOEVENTO="Manual",$M115=1),$M115&gt;(ROW(PLE.lastrow)-ROW(PLE.firstrow))),0,IF(OFFSET(PLE!$G$14,$M115,AZ$13)="",10^12,OFFSET(PLE!$G$14,$M115,AZ$13))))</f>
        <v>1000000000000</v>
      </c>
      <c r="BA115" s="182">
        <f ca="1">IF($D115&lt;&gt;"Serviço",0,IF(OR(AND(AUTOEVENTO="Manual",$M115=1),$M115&gt;(ROW(PLE.lastrow)-ROW(PLE.firstrow))),0,IF(OFFSET(PLE!$G$14,$M115,BA$13)="",10^12,OFFSET(PLE!$G$14,$M115,BA$13))))</f>
        <v>1000000000000</v>
      </c>
      <c r="BB115" s="182">
        <f ca="1">IF($D115&lt;&gt;"Serviço",0,IF(OR(AND(AUTOEVENTO="Manual",$M115=1),$M115&gt;(ROW(PLE.lastrow)-ROW(PLE.firstrow))),0,IF(OFFSET(PLE!$G$14,$M115,BB$13)="",10^12,OFFSET(PLE!$G$14,$M115,BB$13))))</f>
        <v>1000000000000</v>
      </c>
      <c r="BC115" s="182">
        <f ca="1">IF($D115&lt;&gt;"Serviço",0,IF(OR(AND(AUTOEVENTO="Manual",$M115=1),$M115&gt;(ROW(PLE.lastrow)-ROW(PLE.firstrow))),0,IF(OFFSET(PLE!$G$14,$M115,BC$13)="",10^12,OFFSET(PLE!$G$14,$M115,BC$13))))</f>
        <v>1000000000000</v>
      </c>
      <c r="BD115" s="182">
        <f ca="1">IF($D115&lt;&gt;"Serviço",0,IF(OR(AND(AUTOEVENTO="Manual",$M115=1),$M115&gt;(ROW(PLE.lastrow)-ROW(PLE.firstrow))),0,IF(OFFSET(PLE!$G$14,$M115,BD$13)="",10^12,OFFSET(PLE!$G$14,$M115,BD$13))))</f>
        <v>1000000000000</v>
      </c>
      <c r="BE115" s="182">
        <f ca="1">IF($D115&lt;&gt;"Serviço",0,IF(OR(AND(AUTOEVENTO="Manual",$M115=1),$M115&gt;(ROW(PLE.lastrow)-ROW(PLE.firstrow))),0,IF(OFFSET(PLE!$G$14,$M115,BE$13)="",10^12,OFFSET(PLE!$G$14,$M115,BE$13))))</f>
        <v>1000000000000</v>
      </c>
      <c r="BF115" s="182">
        <f ca="1">IF($D115&lt;&gt;"Serviço",0,IF(OR(AND(AUTOEVENTO="Manual",$M115=1),$M115&gt;(ROW(PLE.lastrow)-ROW(PLE.firstrow))),0,IF(OFFSET(PLE!$G$14,$M115,BF$13)="",10^12,OFFSET(PLE!$G$14,$M115,BF$13))))</f>
        <v>1000000000000</v>
      </c>
      <c r="BG115" s="182">
        <f ca="1">IF($D115&lt;&gt;"Serviço",0,IF(OR(AND(AUTOEVENTO="Manual",$M115=1),$M115&gt;(ROW(PLE.lastrow)-ROW(PLE.firstrow))),0,IF(OFFSET(PLE!$G$14,$M115,BG$13)="",10^12,OFFSET(PLE!$G$14,$M115,BG$13))))</f>
        <v>1000000000000</v>
      </c>
    </row>
    <row r="116" spans="1:59" ht="12.75" x14ac:dyDescent="0.2">
      <c r="A116" s="7" t="str">
        <f ca="1">IF(AUTOEVENTO="Manual",IF(K116&lt;&gt;"",MIN(VALUE(LEFT(K116,FIND(".",K116)-1)),COUNTA(EVENTOS.Lista)),0),IF(OR($B116&gt;AUTOEVENTO,$B116="S",$B116=0),SUBSTITUTE(OFFSET($A116,-1,0),IF($D116="Serviço",".",""),""),ROW(A116)-ROW($A$15)&amp;"."))</f>
        <v>101.</v>
      </c>
      <c r="B116" s="7">
        <f ca="1">OFFSET(ORÇAMENTO!C$15,ROW(B116)-ROW(B$15),0)</f>
        <v>1</v>
      </c>
      <c r="C116" s="7" t="str">
        <f ca="1">OFFSET(ORÇAMENTO!L$15,ROW(C116)-ROW(C$15),0)</f>
        <v>F</v>
      </c>
      <c r="D116" s="118" t="str">
        <f ca="1">OFFSET(ORÇAMENTO!N$15,ROW(D116)-ROW(D$15),0)</f>
        <v>Meta</v>
      </c>
      <c r="E116" s="119" t="str">
        <f ca="1">OFFSET(ORÇAMENTO!O$15,ROW(E116)-ROW(E$15),0)</f>
        <v>7.</v>
      </c>
      <c r="F116" s="172" t="str">
        <f ca="1">OFFSET(ORÇAMENTO!R$15,ROW(F116)-ROW(F$15),0)</f>
        <v xml:space="preserve">PAVIMENTAÇÃO </v>
      </c>
      <c r="G116" s="173" t="str">
        <f ca="1">IF($D116&lt;&gt;"Serviço","",OFFSET(ORÇAMENTO!S$15,ROW(G116)-ROW(G$15),0))</f>
        <v/>
      </c>
      <c r="H116" s="124">
        <f ca="1">IF($D116&lt;&gt;"Serviço",0,IF(ACOMPANHAMENTO="BM",ROUND(OFFSET(ORÇAMENTO!AJ$15,ROW(H116)-ROW(H$15),0),15-13*ORÇAMENTO!$AF$7),SUMPRODUCT(($Q$12:$AA$12&lt;&gt;"")*ROUND($Q116:$AA116,15-13*ORÇAMENTO!$AF$7))))</f>
        <v>0</v>
      </c>
      <c r="I116" s="561"/>
      <c r="K116" s="174"/>
      <c r="L116" s="175" t="s">
        <v>255</v>
      </c>
      <c r="M116" s="176" t="str">
        <f ca="1">IF($D116&lt;&gt;"Serviço","",IF(AUTOEVENTO="manual",$A116,IF(ISERROR(MATCH($A116,$A$15:OFFSET($A116,-1,0),0)),MAX($M$15:OFFSET(M116,-1,0))+1,INDEX($M$15:OFFSET(M116,-1,0),MATCH($A116,$A$15:OFFSET($A116,-1,0),0)))))</f>
        <v/>
      </c>
      <c r="N116" s="177" t="str">
        <f ca="1">IF($D116&lt;&gt;"Serviço","",IF(AUTOEVENTO="Manual",IF($A116=0,"&lt;-- defina o número do agrupador",OFFSET(EVENTOS!$D$14,$A116,0)),OFFSET($F$15,$A116,0)))</f>
        <v/>
      </c>
      <c r="O116" s="178"/>
      <c r="Q116" s="178"/>
      <c r="R116" s="179"/>
      <c r="S116" s="179"/>
      <c r="T116" s="179"/>
      <c r="U116" s="179"/>
      <c r="V116" s="179"/>
      <c r="W116" s="179"/>
      <c r="X116" s="179"/>
      <c r="Y116" s="179"/>
      <c r="Z116" s="180"/>
      <c r="AB116" s="544">
        <f ca="1">IF(AND($D116="Serviço",AB$12&lt;&gt;0,$H116&gt;0,OR(AUTOEVENTO&lt;&gt;"manual",$M116&lt;&gt;1)),
IF(Import.TipoArredondamento&lt;&gt;"TransfereGOV",
ROUND(OFFSET($P116,0,AB$13),15-13*ORÇAMENTO!$AF$7)/$H116*OFFSET(ORÇAMENTO!$X$15,ROW(AB116)-ROW(AB$15),0),
ROUND(ROUND(OFFSET($P116,0,AB$13),15-13*ORÇAMENTO!$AF$7)*OFFSET(ORÇAMENTO!$W$15,ROW(AB116)-ROW(AB$15),0),15-13*ORÇAMENTO!$AF$11)),0)</f>
        <v>0</v>
      </c>
      <c r="AC116" s="545">
        <f ca="1">IF(AND($D116="Serviço",AC$12&lt;&gt;0,$H116&gt;0,OR(AUTOEVENTO&lt;&gt;"manual",$M116&lt;&gt;1)),
IF(Import.TipoArredondamento&lt;&gt;"TransfereGOV",
ROUND(OFFSET($P116,0,AC$13),15-13*ORÇAMENTO!$AF$7)/$H116*OFFSET(ORÇAMENTO!$X$15,ROW(AC116)-ROW(AC$15),0),
ROUND(ROUND(OFFSET($P116,0,AC$13),15-13*ORÇAMENTO!$AF$7)*OFFSET(ORÇAMENTO!$W$15,ROW(AC116)-ROW(AC$15),0),15-13*ORÇAMENTO!$AF$11)),0)</f>
        <v>0</v>
      </c>
      <c r="AD116" s="545">
        <f ca="1">IF(AND($D116="Serviço",AD$12&lt;&gt;0,$H116&gt;0,OR(AUTOEVENTO&lt;&gt;"manual",$M116&lt;&gt;1)),
IF(Import.TipoArredondamento&lt;&gt;"TransfereGOV",
ROUND(OFFSET($P116,0,AD$13),15-13*ORÇAMENTO!$AF$7)/$H116*OFFSET(ORÇAMENTO!$X$15,ROW(AD116)-ROW(AD$15),0),
ROUND(ROUND(OFFSET($P116,0,AD$13),15-13*ORÇAMENTO!$AF$7)*OFFSET(ORÇAMENTO!$W$15,ROW(AD116)-ROW(AD$15),0),15-13*ORÇAMENTO!$AF$11)),0)</f>
        <v>0</v>
      </c>
      <c r="AE116" s="545">
        <f ca="1">IF(AND($D116="Serviço",AE$12&lt;&gt;0,$H116&gt;0,OR(AUTOEVENTO&lt;&gt;"manual",$M116&lt;&gt;1)),
IF(Import.TipoArredondamento&lt;&gt;"TransfereGOV",
ROUND(OFFSET($P116,0,AE$13),15-13*ORÇAMENTO!$AF$7)/$H116*OFFSET(ORÇAMENTO!$X$15,ROW(AE116)-ROW(AE$15),0),
ROUND(ROUND(OFFSET($P116,0,AE$13),15-13*ORÇAMENTO!$AF$7)*OFFSET(ORÇAMENTO!$W$15,ROW(AE116)-ROW(AE$15),0),15-13*ORÇAMENTO!$AF$11)),0)</f>
        <v>0</v>
      </c>
      <c r="AF116" s="545">
        <f ca="1">IF(AND($D116="Serviço",AF$12&lt;&gt;0,$H116&gt;0,OR(AUTOEVENTO&lt;&gt;"manual",$M116&lt;&gt;1)),
IF(Import.TipoArredondamento&lt;&gt;"TransfereGOV",
ROUND(OFFSET($P116,0,AF$13),15-13*ORÇAMENTO!$AF$7)/$H116*OFFSET(ORÇAMENTO!$X$15,ROW(AF116)-ROW(AF$15),0),
ROUND(ROUND(OFFSET($P116,0,AF$13),15-13*ORÇAMENTO!$AF$7)*OFFSET(ORÇAMENTO!$W$15,ROW(AF116)-ROW(AF$15),0),15-13*ORÇAMENTO!$AF$11)),0)</f>
        <v>0</v>
      </c>
      <c r="AG116" s="545">
        <f ca="1">IF(AND($D116="Serviço",AG$12&lt;&gt;0,$H116&gt;0,OR(AUTOEVENTO&lt;&gt;"manual",$M116&lt;&gt;1)),
IF(Import.TipoArredondamento&lt;&gt;"TransfereGOV",
ROUND(OFFSET($P116,0,AG$13),15-13*ORÇAMENTO!$AF$7)/$H116*OFFSET(ORÇAMENTO!$X$15,ROW(AG116)-ROW(AG$15),0),
ROUND(ROUND(OFFSET($P116,0,AG$13),15-13*ORÇAMENTO!$AF$7)*OFFSET(ORÇAMENTO!$W$15,ROW(AG116)-ROW(AG$15),0),15-13*ORÇAMENTO!$AF$11)),0)</f>
        <v>0</v>
      </c>
      <c r="AH116" s="545">
        <f ca="1">IF(AND($D116="Serviço",AH$12&lt;&gt;0,$H116&gt;0,OR(AUTOEVENTO&lt;&gt;"manual",$M116&lt;&gt;1)),
IF(Import.TipoArredondamento&lt;&gt;"TransfereGOV",
ROUND(OFFSET($P116,0,AH$13),15-13*ORÇAMENTO!$AF$7)/$H116*OFFSET(ORÇAMENTO!$X$15,ROW(AH116)-ROW(AH$15),0),
ROUND(ROUND(OFFSET($P116,0,AH$13),15-13*ORÇAMENTO!$AF$7)*OFFSET(ORÇAMENTO!$W$15,ROW(AH116)-ROW(AH$15),0),15-13*ORÇAMENTO!$AF$11)),0)</f>
        <v>0</v>
      </c>
      <c r="AI116" s="545">
        <f ca="1">IF(AND($D116="Serviço",AI$12&lt;&gt;0,$H116&gt;0,OR(AUTOEVENTO&lt;&gt;"manual",$M116&lt;&gt;1)),
IF(Import.TipoArredondamento&lt;&gt;"TransfereGOV",
ROUND(OFFSET($P116,0,AI$13),15-13*ORÇAMENTO!$AF$7)/$H116*OFFSET(ORÇAMENTO!$X$15,ROW(AI116)-ROW(AI$15),0),
ROUND(ROUND(OFFSET($P116,0,AI$13),15-13*ORÇAMENTO!$AF$7)*OFFSET(ORÇAMENTO!$W$15,ROW(AI116)-ROW(AI$15),0),15-13*ORÇAMENTO!$AF$11)),0)</f>
        <v>0</v>
      </c>
      <c r="AJ116" s="545">
        <f ca="1">IF(AND($D116="Serviço",AJ$12&lt;&gt;0,$H116&gt;0,OR(AUTOEVENTO&lt;&gt;"manual",$M116&lt;&gt;1)),
IF(Import.TipoArredondamento&lt;&gt;"TransfereGOV",
ROUND(OFFSET($P116,0,AJ$13),15-13*ORÇAMENTO!$AF$7)/$H116*OFFSET(ORÇAMENTO!$X$15,ROW(AJ116)-ROW(AJ$15),0),
ROUND(ROUND(OFFSET($P116,0,AJ$13),15-13*ORÇAMENTO!$AF$7)*OFFSET(ORÇAMENTO!$W$15,ROW(AJ116)-ROW(AJ$15),0),15-13*ORÇAMENTO!$AF$11)),0)</f>
        <v>0</v>
      </c>
      <c r="AK116" s="546">
        <f ca="1">IF(AND($D116="Serviço",AK$12&lt;&gt;0,$H116&gt;0,OR(AUTOEVENTO&lt;&gt;"manual",$M116&lt;&gt;1)),
IF(Import.TipoArredondamento&lt;&gt;"TransfereGOV",
ROUND(OFFSET($P116,0,AK$13),15-13*ORÇAMENTO!$AF$7)/$H116*OFFSET(ORÇAMENTO!$X$15,ROW(AK116)-ROW(AK$15),0),
ROUND(ROUND(OFFSET($P116,0,AK$13),15-13*ORÇAMENTO!$AF$7)*OFFSET(ORÇAMENTO!$W$15,ROW(AK116)-ROW(AK$15),0),15-13*ORÇAMENTO!$AF$11)),0)</f>
        <v>0</v>
      </c>
      <c r="AM116" s="181">
        <f ca="1">IF($D116&lt;&gt;"Serviço",0,IF(AND(AUTOEVENTO="Manual",$M116=1),0,IF(OFFSET(CRONOPLE!$F$14,$M116,AM$13)="",10^12,OFFSET(CRONOPLE!$F$14,$M116,AM$13))))</f>
        <v>0</v>
      </c>
      <c r="AN116" s="181">
        <f ca="1">IF($D116&lt;&gt;"Serviço",0,IF(AND(AUTOEVENTO="Manual",$M116=1),0,IF(OFFSET(CRONOPLE!$F$14,$M116,AN$13)="",10^12,OFFSET(CRONOPLE!$F$14,$M116,AN$13))))</f>
        <v>0</v>
      </c>
      <c r="AO116" s="181">
        <f ca="1">IF($D116&lt;&gt;"Serviço",0,IF(AND(AUTOEVENTO="Manual",$M116=1),0,IF(OFFSET(CRONOPLE!$F$14,$M116,AO$13)="",10^12,OFFSET(CRONOPLE!$F$14,$M116,AO$13))))</f>
        <v>0</v>
      </c>
      <c r="AP116" s="181">
        <f ca="1">IF($D116&lt;&gt;"Serviço",0,IF(AND(AUTOEVENTO="Manual",$M116=1),0,IF(OFFSET(CRONOPLE!$F$14,$M116,AP$13)="",10^12,OFFSET(CRONOPLE!$F$14,$M116,AP$13))))</f>
        <v>0</v>
      </c>
      <c r="AQ116" s="181">
        <f ca="1">IF($D116&lt;&gt;"Serviço",0,IF(AND(AUTOEVENTO="Manual",$M116=1),0,IF(OFFSET(CRONOPLE!$F$14,$M116,AQ$13)="",10^12,OFFSET(CRONOPLE!$F$14,$M116,AQ$13))))</f>
        <v>0</v>
      </c>
      <c r="AR116" s="181">
        <f ca="1">IF($D116&lt;&gt;"Serviço",0,IF(AND(AUTOEVENTO="Manual",$M116=1),0,IF(OFFSET(CRONOPLE!$F$14,$M116,AR$13)="",10^12,OFFSET(CRONOPLE!$F$14,$M116,AR$13))))</f>
        <v>0</v>
      </c>
      <c r="AS116" s="181">
        <f ca="1">IF($D116&lt;&gt;"Serviço",0,IF(AND(AUTOEVENTO="Manual",$M116=1),0,IF(OFFSET(CRONOPLE!$F$14,$M116,AS$13)="",10^12,OFFSET(CRONOPLE!$F$14,$M116,AS$13))))</f>
        <v>0</v>
      </c>
      <c r="AT116" s="181">
        <f ca="1">IF($D116&lt;&gt;"Serviço",0,IF(AND(AUTOEVENTO="Manual",$M116=1),0,IF(OFFSET(CRONOPLE!$F$14,$M116,AT$13)="",10^12,OFFSET(CRONOPLE!$F$14,$M116,AT$13))))</f>
        <v>0</v>
      </c>
      <c r="AU116" s="181">
        <f ca="1">IF($D116&lt;&gt;"Serviço",0,IF(AND(AUTOEVENTO="Manual",$M116=1),0,IF(OFFSET(CRONOPLE!$F$14,$M116,AU$13)="",10^12,OFFSET(CRONOPLE!$F$14,$M116,AU$13))))</f>
        <v>0</v>
      </c>
      <c r="AV116" s="181">
        <f ca="1">IF($D116&lt;&gt;"Serviço",0,IF(AND(AUTOEVENTO="Manual",$M116=1),0,IF(OFFSET(CRONOPLE!$F$14,$M116,AV$13)="",10^12,OFFSET(CRONOPLE!$F$14,$M116,AV$13))))</f>
        <v>0</v>
      </c>
      <c r="AX116" s="182">
        <f ca="1">IF($D116&lt;&gt;"Serviço",0,IF(OR(AND(AUTOEVENTO="Manual",$M116=1),$M116&gt;(ROW(PLE.lastrow)-ROW(PLE.firstrow))),0,IF(OFFSET(PLE!$G$14,$M116,AX$13)="",10^12,OFFSET(PLE!$G$14,$M116,AX$13))))</f>
        <v>0</v>
      </c>
      <c r="AY116" s="182">
        <f ca="1">IF($D116&lt;&gt;"Serviço",0,IF(OR(AND(AUTOEVENTO="Manual",$M116=1),$M116&gt;(ROW(PLE.lastrow)-ROW(PLE.firstrow))),0,IF(OFFSET(PLE!$G$14,$M116,AY$13)="",10^12,OFFSET(PLE!$G$14,$M116,AY$13))))</f>
        <v>0</v>
      </c>
      <c r="AZ116" s="182">
        <f ca="1">IF($D116&lt;&gt;"Serviço",0,IF(OR(AND(AUTOEVENTO="Manual",$M116=1),$M116&gt;(ROW(PLE.lastrow)-ROW(PLE.firstrow))),0,IF(OFFSET(PLE!$G$14,$M116,AZ$13)="",10^12,OFFSET(PLE!$G$14,$M116,AZ$13))))</f>
        <v>0</v>
      </c>
      <c r="BA116" s="182">
        <f ca="1">IF($D116&lt;&gt;"Serviço",0,IF(OR(AND(AUTOEVENTO="Manual",$M116=1),$M116&gt;(ROW(PLE.lastrow)-ROW(PLE.firstrow))),0,IF(OFFSET(PLE!$G$14,$M116,BA$13)="",10^12,OFFSET(PLE!$G$14,$M116,BA$13))))</f>
        <v>0</v>
      </c>
      <c r="BB116" s="182">
        <f ca="1">IF($D116&lt;&gt;"Serviço",0,IF(OR(AND(AUTOEVENTO="Manual",$M116=1),$M116&gt;(ROW(PLE.lastrow)-ROW(PLE.firstrow))),0,IF(OFFSET(PLE!$G$14,$M116,BB$13)="",10^12,OFFSET(PLE!$G$14,$M116,BB$13))))</f>
        <v>0</v>
      </c>
      <c r="BC116" s="182">
        <f ca="1">IF($D116&lt;&gt;"Serviço",0,IF(OR(AND(AUTOEVENTO="Manual",$M116=1),$M116&gt;(ROW(PLE.lastrow)-ROW(PLE.firstrow))),0,IF(OFFSET(PLE!$G$14,$M116,BC$13)="",10^12,OFFSET(PLE!$G$14,$M116,BC$13))))</f>
        <v>0</v>
      </c>
      <c r="BD116" s="182">
        <f ca="1">IF($D116&lt;&gt;"Serviço",0,IF(OR(AND(AUTOEVENTO="Manual",$M116=1),$M116&gt;(ROW(PLE.lastrow)-ROW(PLE.firstrow))),0,IF(OFFSET(PLE!$G$14,$M116,BD$13)="",10^12,OFFSET(PLE!$G$14,$M116,BD$13))))</f>
        <v>0</v>
      </c>
      <c r="BE116" s="182">
        <f ca="1">IF($D116&lt;&gt;"Serviço",0,IF(OR(AND(AUTOEVENTO="Manual",$M116=1),$M116&gt;(ROW(PLE.lastrow)-ROW(PLE.firstrow))),0,IF(OFFSET(PLE!$G$14,$M116,BE$13)="",10^12,OFFSET(PLE!$G$14,$M116,BE$13))))</f>
        <v>0</v>
      </c>
      <c r="BF116" s="182">
        <f ca="1">IF($D116&lt;&gt;"Serviço",0,IF(OR(AND(AUTOEVENTO="Manual",$M116=1),$M116&gt;(ROW(PLE.lastrow)-ROW(PLE.firstrow))),0,IF(OFFSET(PLE!$G$14,$M116,BF$13)="",10^12,OFFSET(PLE!$G$14,$M116,BF$13))))</f>
        <v>0</v>
      </c>
      <c r="BG116" s="182">
        <f ca="1">IF($D116&lt;&gt;"Serviço",0,IF(OR(AND(AUTOEVENTO="Manual",$M116=1),$M116&gt;(ROW(PLE.lastrow)-ROW(PLE.firstrow))),0,IF(OFFSET(PLE!$G$14,$M116,BG$13)="",10^12,OFFSET(PLE!$G$14,$M116,BG$13))))</f>
        <v>0</v>
      </c>
    </row>
    <row r="117" spans="1:59" ht="12.75" x14ac:dyDescent="0.2">
      <c r="A117" s="7" t="str">
        <f t="shared" ref="A117:A124" ca="1" si="12">IF(AUTOEVENTO="Manual",IF(K117&lt;&gt;"",MIN(VALUE(LEFT(K117,FIND(".",K117)-1)),COUNTA(EVENTOS.Lista)),0),IF(OR($B117&gt;AUTOEVENTO,$B117="S",$B117=0),SUBSTITUTE(OFFSET($A117,-1,0),IF($D117="Serviço",".",""),""),ROW(A117)-ROW($A$15)&amp;"."))</f>
        <v>102.</v>
      </c>
      <c r="B117" s="7">
        <f ca="1">OFFSET(ORÇAMENTO!C$15,ROW(B117)-ROW(B$15),0)</f>
        <v>2</v>
      </c>
      <c r="C117" s="7" t="str">
        <f ca="1">OFFSET(ORÇAMENTO!L$15,ROW(C117)-ROW(C$15),0)</f>
        <v>F</v>
      </c>
      <c r="D117" s="118" t="str">
        <f ca="1">OFFSET(ORÇAMENTO!N$15,ROW(D117)-ROW(D$15),0)</f>
        <v>Nível 2</v>
      </c>
      <c r="E117" s="119" t="str">
        <f ca="1">OFFSET(ORÇAMENTO!O$15,ROW(E117)-ROW(E$15),0)</f>
        <v>7.1.</v>
      </c>
      <c r="F117" s="172" t="str">
        <f ca="1">OFFSET(ORÇAMENTO!R$15,ROW(F117)-ROW(F$15),0)</f>
        <v>PISO</v>
      </c>
      <c r="G117" s="173" t="str">
        <f ca="1">IF($D117&lt;&gt;"Serviço","",OFFSET(ORÇAMENTO!S$15,ROW(G117)-ROW(G$15),0))</f>
        <v/>
      </c>
      <c r="H117" s="124">
        <f ca="1">IF($D117&lt;&gt;"Serviço",0,IF(ACOMPANHAMENTO="BM",ROUND(OFFSET(ORÇAMENTO!AJ$15,ROW(H117)-ROW(H$15),0),15-13*ORÇAMENTO!$AF$7),SUMPRODUCT(($Q$12:$AA$12&lt;&gt;"")*ROUND($Q117:$AA117,15-13*ORÇAMENTO!$AF$7))))</f>
        <v>0</v>
      </c>
      <c r="I117" s="561"/>
      <c r="K117" s="174"/>
      <c r="L117" s="175" t="s">
        <v>255</v>
      </c>
      <c r="M117" s="176" t="str">
        <f ca="1">IF($D117&lt;&gt;"Serviço","",IF(AUTOEVENTO="manual",$A117,IF(ISERROR(MATCH($A117,$A$15:OFFSET($A117,-1,0),0)),MAX($M$15:OFFSET(M117,-1,0))+1,INDEX($M$15:OFFSET(M117,-1,0),MATCH($A117,$A$15:OFFSET($A117,-1,0),0)))))</f>
        <v/>
      </c>
      <c r="N117" s="177" t="str">
        <f ca="1">IF($D117&lt;&gt;"Serviço","",IF(AUTOEVENTO="Manual",IF($A117=0,"&lt;-- defina o número do agrupador",OFFSET(EVENTOS!$D$14,$A117,0)),OFFSET($F$15,$A117,0)))</f>
        <v/>
      </c>
      <c r="O117" s="178"/>
      <c r="Q117" s="178"/>
      <c r="R117" s="179"/>
      <c r="S117" s="179"/>
      <c r="T117" s="179"/>
      <c r="U117" s="179"/>
      <c r="V117" s="179"/>
      <c r="W117" s="179"/>
      <c r="X117" s="179"/>
      <c r="Y117" s="179"/>
      <c r="Z117" s="180"/>
      <c r="AB117" s="544">
        <f ca="1">IF(AND($D117="Serviço",AB$12&lt;&gt;0,$H117&gt;0,OR(AUTOEVENTO&lt;&gt;"manual",$M117&lt;&gt;1)),
IF(Import.TipoArredondamento&lt;&gt;"TransfereGOV",
ROUND(OFFSET($P117,0,AB$13),15-13*ORÇAMENTO!$AF$7)/$H117*OFFSET(ORÇAMENTO!$X$15,ROW(AB117)-ROW(AB$15),0),
ROUND(ROUND(OFFSET($P117,0,AB$13),15-13*ORÇAMENTO!$AF$7)*OFFSET(ORÇAMENTO!$W$15,ROW(AB117)-ROW(AB$15),0),15-13*ORÇAMENTO!$AF$11)),0)</f>
        <v>0</v>
      </c>
      <c r="AC117" s="545">
        <f ca="1">IF(AND($D117="Serviço",AC$12&lt;&gt;0,$H117&gt;0,OR(AUTOEVENTO&lt;&gt;"manual",$M117&lt;&gt;1)),
IF(Import.TipoArredondamento&lt;&gt;"TransfereGOV",
ROUND(OFFSET($P117,0,AC$13),15-13*ORÇAMENTO!$AF$7)/$H117*OFFSET(ORÇAMENTO!$X$15,ROW(AC117)-ROW(AC$15),0),
ROUND(ROUND(OFFSET($P117,0,AC$13),15-13*ORÇAMENTO!$AF$7)*OFFSET(ORÇAMENTO!$W$15,ROW(AC117)-ROW(AC$15),0),15-13*ORÇAMENTO!$AF$11)),0)</f>
        <v>0</v>
      </c>
      <c r="AD117" s="545">
        <f ca="1">IF(AND($D117="Serviço",AD$12&lt;&gt;0,$H117&gt;0,OR(AUTOEVENTO&lt;&gt;"manual",$M117&lt;&gt;1)),
IF(Import.TipoArredondamento&lt;&gt;"TransfereGOV",
ROUND(OFFSET($P117,0,AD$13),15-13*ORÇAMENTO!$AF$7)/$H117*OFFSET(ORÇAMENTO!$X$15,ROW(AD117)-ROW(AD$15),0),
ROUND(ROUND(OFFSET($P117,0,AD$13),15-13*ORÇAMENTO!$AF$7)*OFFSET(ORÇAMENTO!$W$15,ROW(AD117)-ROW(AD$15),0),15-13*ORÇAMENTO!$AF$11)),0)</f>
        <v>0</v>
      </c>
      <c r="AE117" s="545">
        <f ca="1">IF(AND($D117="Serviço",AE$12&lt;&gt;0,$H117&gt;0,OR(AUTOEVENTO&lt;&gt;"manual",$M117&lt;&gt;1)),
IF(Import.TipoArredondamento&lt;&gt;"TransfereGOV",
ROUND(OFFSET($P117,0,AE$13),15-13*ORÇAMENTO!$AF$7)/$H117*OFFSET(ORÇAMENTO!$X$15,ROW(AE117)-ROW(AE$15),0),
ROUND(ROUND(OFFSET($P117,0,AE$13),15-13*ORÇAMENTO!$AF$7)*OFFSET(ORÇAMENTO!$W$15,ROW(AE117)-ROW(AE$15),0),15-13*ORÇAMENTO!$AF$11)),0)</f>
        <v>0</v>
      </c>
      <c r="AF117" s="545">
        <f ca="1">IF(AND($D117="Serviço",AF$12&lt;&gt;0,$H117&gt;0,OR(AUTOEVENTO&lt;&gt;"manual",$M117&lt;&gt;1)),
IF(Import.TipoArredondamento&lt;&gt;"TransfereGOV",
ROUND(OFFSET($P117,0,AF$13),15-13*ORÇAMENTO!$AF$7)/$H117*OFFSET(ORÇAMENTO!$X$15,ROW(AF117)-ROW(AF$15),0),
ROUND(ROUND(OFFSET($P117,0,AF$13),15-13*ORÇAMENTO!$AF$7)*OFFSET(ORÇAMENTO!$W$15,ROW(AF117)-ROW(AF$15),0),15-13*ORÇAMENTO!$AF$11)),0)</f>
        <v>0</v>
      </c>
      <c r="AG117" s="545">
        <f ca="1">IF(AND($D117="Serviço",AG$12&lt;&gt;0,$H117&gt;0,OR(AUTOEVENTO&lt;&gt;"manual",$M117&lt;&gt;1)),
IF(Import.TipoArredondamento&lt;&gt;"TransfereGOV",
ROUND(OFFSET($P117,0,AG$13),15-13*ORÇAMENTO!$AF$7)/$H117*OFFSET(ORÇAMENTO!$X$15,ROW(AG117)-ROW(AG$15),0),
ROUND(ROUND(OFFSET($P117,0,AG$13),15-13*ORÇAMENTO!$AF$7)*OFFSET(ORÇAMENTO!$W$15,ROW(AG117)-ROW(AG$15),0),15-13*ORÇAMENTO!$AF$11)),0)</f>
        <v>0</v>
      </c>
      <c r="AH117" s="545">
        <f ca="1">IF(AND($D117="Serviço",AH$12&lt;&gt;0,$H117&gt;0,OR(AUTOEVENTO&lt;&gt;"manual",$M117&lt;&gt;1)),
IF(Import.TipoArredondamento&lt;&gt;"TransfereGOV",
ROUND(OFFSET($P117,0,AH$13),15-13*ORÇAMENTO!$AF$7)/$H117*OFFSET(ORÇAMENTO!$X$15,ROW(AH117)-ROW(AH$15),0),
ROUND(ROUND(OFFSET($P117,0,AH$13),15-13*ORÇAMENTO!$AF$7)*OFFSET(ORÇAMENTO!$W$15,ROW(AH117)-ROW(AH$15),0),15-13*ORÇAMENTO!$AF$11)),0)</f>
        <v>0</v>
      </c>
      <c r="AI117" s="545">
        <f ca="1">IF(AND($D117="Serviço",AI$12&lt;&gt;0,$H117&gt;0,OR(AUTOEVENTO&lt;&gt;"manual",$M117&lt;&gt;1)),
IF(Import.TipoArredondamento&lt;&gt;"TransfereGOV",
ROUND(OFFSET($P117,0,AI$13),15-13*ORÇAMENTO!$AF$7)/$H117*OFFSET(ORÇAMENTO!$X$15,ROW(AI117)-ROW(AI$15),0),
ROUND(ROUND(OFFSET($P117,0,AI$13),15-13*ORÇAMENTO!$AF$7)*OFFSET(ORÇAMENTO!$W$15,ROW(AI117)-ROW(AI$15),0),15-13*ORÇAMENTO!$AF$11)),0)</f>
        <v>0</v>
      </c>
      <c r="AJ117" s="545">
        <f ca="1">IF(AND($D117="Serviço",AJ$12&lt;&gt;0,$H117&gt;0,OR(AUTOEVENTO&lt;&gt;"manual",$M117&lt;&gt;1)),
IF(Import.TipoArredondamento&lt;&gt;"TransfereGOV",
ROUND(OFFSET($P117,0,AJ$13),15-13*ORÇAMENTO!$AF$7)/$H117*OFFSET(ORÇAMENTO!$X$15,ROW(AJ117)-ROW(AJ$15),0),
ROUND(ROUND(OFFSET($P117,0,AJ$13),15-13*ORÇAMENTO!$AF$7)*OFFSET(ORÇAMENTO!$W$15,ROW(AJ117)-ROW(AJ$15),0),15-13*ORÇAMENTO!$AF$11)),0)</f>
        <v>0</v>
      </c>
      <c r="AK117" s="546">
        <f ca="1">IF(AND($D117="Serviço",AK$12&lt;&gt;0,$H117&gt;0,OR(AUTOEVENTO&lt;&gt;"manual",$M117&lt;&gt;1)),
IF(Import.TipoArredondamento&lt;&gt;"TransfereGOV",
ROUND(OFFSET($P117,0,AK$13),15-13*ORÇAMENTO!$AF$7)/$H117*OFFSET(ORÇAMENTO!$X$15,ROW(AK117)-ROW(AK$15),0),
ROUND(ROUND(OFFSET($P117,0,AK$13),15-13*ORÇAMENTO!$AF$7)*OFFSET(ORÇAMENTO!$W$15,ROW(AK117)-ROW(AK$15),0),15-13*ORÇAMENTO!$AF$11)),0)</f>
        <v>0</v>
      </c>
      <c r="AM117" s="181">
        <f ca="1">IF($D117&lt;&gt;"Serviço",0,IF(AND(AUTOEVENTO="Manual",$M117=1),0,IF(OFFSET(CRONOPLE!$F$14,$M117,AM$13)="",10^12,OFFSET(CRONOPLE!$F$14,$M117,AM$13))))</f>
        <v>0</v>
      </c>
      <c r="AN117" s="181">
        <f ca="1">IF($D117&lt;&gt;"Serviço",0,IF(AND(AUTOEVENTO="Manual",$M117=1),0,IF(OFFSET(CRONOPLE!$F$14,$M117,AN$13)="",10^12,OFFSET(CRONOPLE!$F$14,$M117,AN$13))))</f>
        <v>0</v>
      </c>
      <c r="AO117" s="181">
        <f ca="1">IF($D117&lt;&gt;"Serviço",0,IF(AND(AUTOEVENTO="Manual",$M117=1),0,IF(OFFSET(CRONOPLE!$F$14,$M117,AO$13)="",10^12,OFFSET(CRONOPLE!$F$14,$M117,AO$13))))</f>
        <v>0</v>
      </c>
      <c r="AP117" s="181">
        <f ca="1">IF($D117&lt;&gt;"Serviço",0,IF(AND(AUTOEVENTO="Manual",$M117=1),0,IF(OFFSET(CRONOPLE!$F$14,$M117,AP$13)="",10^12,OFFSET(CRONOPLE!$F$14,$M117,AP$13))))</f>
        <v>0</v>
      </c>
      <c r="AQ117" s="181">
        <f ca="1">IF($D117&lt;&gt;"Serviço",0,IF(AND(AUTOEVENTO="Manual",$M117=1),0,IF(OFFSET(CRONOPLE!$F$14,$M117,AQ$13)="",10^12,OFFSET(CRONOPLE!$F$14,$M117,AQ$13))))</f>
        <v>0</v>
      </c>
      <c r="AR117" s="181">
        <f ca="1">IF($D117&lt;&gt;"Serviço",0,IF(AND(AUTOEVENTO="Manual",$M117=1),0,IF(OFFSET(CRONOPLE!$F$14,$M117,AR$13)="",10^12,OFFSET(CRONOPLE!$F$14,$M117,AR$13))))</f>
        <v>0</v>
      </c>
      <c r="AS117" s="181">
        <f ca="1">IF($D117&lt;&gt;"Serviço",0,IF(AND(AUTOEVENTO="Manual",$M117=1),0,IF(OFFSET(CRONOPLE!$F$14,$M117,AS$13)="",10^12,OFFSET(CRONOPLE!$F$14,$M117,AS$13))))</f>
        <v>0</v>
      </c>
      <c r="AT117" s="181">
        <f ca="1">IF($D117&lt;&gt;"Serviço",0,IF(AND(AUTOEVENTO="Manual",$M117=1),0,IF(OFFSET(CRONOPLE!$F$14,$M117,AT$13)="",10^12,OFFSET(CRONOPLE!$F$14,$M117,AT$13))))</f>
        <v>0</v>
      </c>
      <c r="AU117" s="181">
        <f ca="1">IF($D117&lt;&gt;"Serviço",0,IF(AND(AUTOEVENTO="Manual",$M117=1),0,IF(OFFSET(CRONOPLE!$F$14,$M117,AU$13)="",10^12,OFFSET(CRONOPLE!$F$14,$M117,AU$13))))</f>
        <v>0</v>
      </c>
      <c r="AV117" s="181">
        <f ca="1">IF($D117&lt;&gt;"Serviço",0,IF(AND(AUTOEVENTO="Manual",$M117=1),0,IF(OFFSET(CRONOPLE!$F$14,$M117,AV$13)="",10^12,OFFSET(CRONOPLE!$F$14,$M117,AV$13))))</f>
        <v>0</v>
      </c>
      <c r="AX117" s="182">
        <f ca="1">IF($D117&lt;&gt;"Serviço",0,IF(OR(AND(AUTOEVENTO="Manual",$M117=1),$M117&gt;(ROW(PLE.lastrow)-ROW(PLE.firstrow))),0,IF(OFFSET(PLE!$G$14,$M117,AX$13)="",10^12,OFFSET(PLE!$G$14,$M117,AX$13))))</f>
        <v>0</v>
      </c>
      <c r="AY117" s="182">
        <f ca="1">IF($D117&lt;&gt;"Serviço",0,IF(OR(AND(AUTOEVENTO="Manual",$M117=1),$M117&gt;(ROW(PLE.lastrow)-ROW(PLE.firstrow))),0,IF(OFFSET(PLE!$G$14,$M117,AY$13)="",10^12,OFFSET(PLE!$G$14,$M117,AY$13))))</f>
        <v>0</v>
      </c>
      <c r="AZ117" s="182">
        <f ca="1">IF($D117&lt;&gt;"Serviço",0,IF(OR(AND(AUTOEVENTO="Manual",$M117=1),$M117&gt;(ROW(PLE.lastrow)-ROW(PLE.firstrow))),0,IF(OFFSET(PLE!$G$14,$M117,AZ$13)="",10^12,OFFSET(PLE!$G$14,$M117,AZ$13))))</f>
        <v>0</v>
      </c>
      <c r="BA117" s="182">
        <f ca="1">IF($D117&lt;&gt;"Serviço",0,IF(OR(AND(AUTOEVENTO="Manual",$M117=1),$M117&gt;(ROW(PLE.lastrow)-ROW(PLE.firstrow))),0,IF(OFFSET(PLE!$G$14,$M117,BA$13)="",10^12,OFFSET(PLE!$G$14,$M117,BA$13))))</f>
        <v>0</v>
      </c>
      <c r="BB117" s="182">
        <f ca="1">IF($D117&lt;&gt;"Serviço",0,IF(OR(AND(AUTOEVENTO="Manual",$M117=1),$M117&gt;(ROW(PLE.lastrow)-ROW(PLE.firstrow))),0,IF(OFFSET(PLE!$G$14,$M117,BB$13)="",10^12,OFFSET(PLE!$G$14,$M117,BB$13))))</f>
        <v>0</v>
      </c>
      <c r="BC117" s="182">
        <f ca="1">IF($D117&lt;&gt;"Serviço",0,IF(OR(AND(AUTOEVENTO="Manual",$M117=1),$M117&gt;(ROW(PLE.lastrow)-ROW(PLE.firstrow))),0,IF(OFFSET(PLE!$G$14,$M117,BC$13)="",10^12,OFFSET(PLE!$G$14,$M117,BC$13))))</f>
        <v>0</v>
      </c>
      <c r="BD117" s="182">
        <f ca="1">IF($D117&lt;&gt;"Serviço",0,IF(OR(AND(AUTOEVENTO="Manual",$M117=1),$M117&gt;(ROW(PLE.lastrow)-ROW(PLE.firstrow))),0,IF(OFFSET(PLE!$G$14,$M117,BD$13)="",10^12,OFFSET(PLE!$G$14,$M117,BD$13))))</f>
        <v>0</v>
      </c>
      <c r="BE117" s="182">
        <f ca="1">IF($D117&lt;&gt;"Serviço",0,IF(OR(AND(AUTOEVENTO="Manual",$M117=1),$M117&gt;(ROW(PLE.lastrow)-ROW(PLE.firstrow))),0,IF(OFFSET(PLE!$G$14,$M117,BE$13)="",10^12,OFFSET(PLE!$G$14,$M117,BE$13))))</f>
        <v>0</v>
      </c>
      <c r="BF117" s="182">
        <f ca="1">IF($D117&lt;&gt;"Serviço",0,IF(OR(AND(AUTOEVENTO="Manual",$M117=1),$M117&gt;(ROW(PLE.lastrow)-ROW(PLE.firstrow))),0,IF(OFFSET(PLE!$G$14,$M117,BF$13)="",10^12,OFFSET(PLE!$G$14,$M117,BF$13))))</f>
        <v>0</v>
      </c>
      <c r="BG117" s="182">
        <f ca="1">IF($D117&lt;&gt;"Serviço",0,IF(OR(AND(AUTOEVENTO="Manual",$M117=1),$M117&gt;(ROW(PLE.lastrow)-ROW(PLE.firstrow))),0,IF(OFFSET(PLE!$G$14,$M117,BG$13)="",10^12,OFFSET(PLE!$G$14,$M117,BG$13))))</f>
        <v>0</v>
      </c>
    </row>
    <row r="118" spans="1:59" ht="25.5" x14ac:dyDescent="0.2">
      <c r="A118" s="7" t="str">
        <f ca="1">IF(AUTOEVENTO="Manual",IF(K118&lt;&gt;"",MIN(VALUE(LEFT(K118,FIND(".",K118)-1)),COUNTA(EVENTOS.Lista)),0),IF(OR($B118&gt;AUTOEVENTO,$B118="S",$B118=0),SUBSTITUTE(OFFSET($A118,-1,0),IF($D118="Serviço",".",""),""),ROW(A118)-ROW($A$15)&amp;"."))</f>
        <v>102</v>
      </c>
      <c r="B118" s="7" t="str">
        <f ca="1">OFFSET(ORÇAMENTO!C$15,ROW(B118)-ROW(B$15),0)</f>
        <v>S</v>
      </c>
      <c r="C118" s="7" t="str">
        <f ca="1">OFFSET(ORÇAMENTO!L$15,ROW(C118)-ROW(C$15),0)</f>
        <v>F</v>
      </c>
      <c r="D118" s="118" t="str">
        <f ca="1">OFFSET(ORÇAMENTO!N$15,ROW(D118)-ROW(D$15),0)</f>
        <v>Serviço</v>
      </c>
      <c r="E118" s="119" t="str">
        <f ca="1">OFFSET(ORÇAMENTO!O$15,ROW(E118)-ROW(E$15),0)</f>
        <v>7.1.1.</v>
      </c>
      <c r="F118" s="172" t="str">
        <f ca="1">OFFSET(ORÇAMENTO!R$15,ROW(F118)-ROW(F$15),0)</f>
        <v>ATERRO MECANIZADO DE VALA COM MINICARREGADEIRA, COM SOLO ARGILO-ARENOSO. AF_08/2023</v>
      </c>
      <c r="G118" s="173" t="str">
        <f ca="1">IF($D118&lt;&gt;"Serviço","",OFFSET(ORÇAMENTO!S$15,ROW(G118)-ROW(G$15),0))</f>
        <v>M3</v>
      </c>
      <c r="H118" s="124">
        <f ca="1">IF($D118&lt;&gt;"Serviço",0,IF(ACOMPANHAMENTO="BM",ROUND(OFFSET(ORÇAMENTO!AJ$15,ROW(H118)-ROW(H$15),0),15-13*ORÇAMENTO!$AF$7),SUMPRODUCT(($Q$12:$AA$12&lt;&gt;"")*ROUND($Q118:$AA118,15-13*ORÇAMENTO!$AF$7))))</f>
        <v>29.3</v>
      </c>
      <c r="I118" s="561"/>
      <c r="K118" s="174"/>
      <c r="L118" s="175" t="s">
        <v>255</v>
      </c>
      <c r="M118" s="176">
        <f ca="1">IF($D118&lt;&gt;"Serviço","",IF(AUTOEVENTO="manual",$A118,IF(ISERROR(MATCH($A118,$A$15:OFFSET($A118,-1,0),0)),MAX($M$15:OFFSET(M118,-1,0))+1,INDEX($M$15:OFFSET(M118,-1,0),MATCH($A118,$A$15:OFFSET($A118,-1,0),0)))))</f>
        <v>17</v>
      </c>
      <c r="N118" s="177" t="str">
        <f ca="1">IF($D118&lt;&gt;"Serviço","",IF(AUTOEVENTO="Manual",IF($A118=0,"&lt;-- defina o número do agrupador",OFFSET(EVENTOS!$D$14,$A118,0)),OFFSET($F$15,$A118,0)))</f>
        <v>PISO</v>
      </c>
      <c r="O118" s="178"/>
      <c r="Q118" s="178"/>
      <c r="R118" s="179"/>
      <c r="S118" s="179"/>
      <c r="T118" s="179"/>
      <c r="U118" s="179"/>
      <c r="V118" s="179"/>
      <c r="W118" s="179"/>
      <c r="X118" s="179"/>
      <c r="Y118" s="179"/>
      <c r="Z118" s="180"/>
      <c r="AB118" s="544">
        <f ca="1">IF(AND($D118="Serviço",AB$12&lt;&gt;0,$H118&gt;0,OR(AUTOEVENTO&lt;&gt;"manual",$M118&lt;&gt;1)),
IF(Import.TipoArredondamento&lt;&gt;"TransfereGOV",
ROUND(OFFSET($P118,0,AB$13),15-13*ORÇAMENTO!$AF$7)/$H118*OFFSET(ORÇAMENTO!$X$15,ROW(AB118)-ROW(AB$15),0),
ROUND(ROUND(OFFSET($P118,0,AB$13),15-13*ORÇAMENTO!$AF$7)*OFFSET(ORÇAMENTO!$W$15,ROW(AB118)-ROW(AB$15),0),15-13*ORÇAMENTO!$AF$11)),0)</f>
        <v>0</v>
      </c>
      <c r="AC118" s="545">
        <f ca="1">IF(AND($D118="Serviço",AC$12&lt;&gt;0,$H118&gt;0,OR(AUTOEVENTO&lt;&gt;"manual",$M118&lt;&gt;1)),
IF(Import.TipoArredondamento&lt;&gt;"TransfereGOV",
ROUND(OFFSET($P118,0,AC$13),15-13*ORÇAMENTO!$AF$7)/$H118*OFFSET(ORÇAMENTO!$X$15,ROW(AC118)-ROW(AC$15),0),
ROUND(ROUND(OFFSET($P118,0,AC$13),15-13*ORÇAMENTO!$AF$7)*OFFSET(ORÇAMENTO!$W$15,ROW(AC118)-ROW(AC$15),0),15-13*ORÇAMENTO!$AF$11)),0)</f>
        <v>0</v>
      </c>
      <c r="AD118" s="545">
        <f ca="1">IF(AND($D118="Serviço",AD$12&lt;&gt;0,$H118&gt;0,OR(AUTOEVENTO&lt;&gt;"manual",$M118&lt;&gt;1)),
IF(Import.TipoArredondamento&lt;&gt;"TransfereGOV",
ROUND(OFFSET($P118,0,AD$13),15-13*ORÇAMENTO!$AF$7)/$H118*OFFSET(ORÇAMENTO!$X$15,ROW(AD118)-ROW(AD$15),0),
ROUND(ROUND(OFFSET($P118,0,AD$13),15-13*ORÇAMENTO!$AF$7)*OFFSET(ORÇAMENTO!$W$15,ROW(AD118)-ROW(AD$15),0),15-13*ORÇAMENTO!$AF$11)),0)</f>
        <v>0</v>
      </c>
      <c r="AE118" s="545">
        <f ca="1">IF(AND($D118="Serviço",AE$12&lt;&gt;0,$H118&gt;0,OR(AUTOEVENTO&lt;&gt;"manual",$M118&lt;&gt;1)),
IF(Import.TipoArredondamento&lt;&gt;"TransfereGOV",
ROUND(OFFSET($P118,0,AE$13),15-13*ORÇAMENTO!$AF$7)/$H118*OFFSET(ORÇAMENTO!$X$15,ROW(AE118)-ROW(AE$15),0),
ROUND(ROUND(OFFSET($P118,0,AE$13),15-13*ORÇAMENTO!$AF$7)*OFFSET(ORÇAMENTO!$W$15,ROW(AE118)-ROW(AE$15),0),15-13*ORÇAMENTO!$AF$11)),0)</f>
        <v>0</v>
      </c>
      <c r="AF118" s="545">
        <f ca="1">IF(AND($D118="Serviço",AF$12&lt;&gt;0,$H118&gt;0,OR(AUTOEVENTO&lt;&gt;"manual",$M118&lt;&gt;1)),
IF(Import.TipoArredondamento&lt;&gt;"TransfereGOV",
ROUND(OFFSET($P118,0,AF$13),15-13*ORÇAMENTO!$AF$7)/$H118*OFFSET(ORÇAMENTO!$X$15,ROW(AF118)-ROW(AF$15),0),
ROUND(ROUND(OFFSET($P118,0,AF$13),15-13*ORÇAMENTO!$AF$7)*OFFSET(ORÇAMENTO!$W$15,ROW(AF118)-ROW(AF$15),0),15-13*ORÇAMENTO!$AF$11)),0)</f>
        <v>0</v>
      </c>
      <c r="AG118" s="545">
        <f ca="1">IF(AND($D118="Serviço",AG$12&lt;&gt;0,$H118&gt;0,OR(AUTOEVENTO&lt;&gt;"manual",$M118&lt;&gt;1)),
IF(Import.TipoArredondamento&lt;&gt;"TransfereGOV",
ROUND(OFFSET($P118,0,AG$13),15-13*ORÇAMENTO!$AF$7)/$H118*OFFSET(ORÇAMENTO!$X$15,ROW(AG118)-ROW(AG$15),0),
ROUND(ROUND(OFFSET($P118,0,AG$13),15-13*ORÇAMENTO!$AF$7)*OFFSET(ORÇAMENTO!$W$15,ROW(AG118)-ROW(AG$15),0),15-13*ORÇAMENTO!$AF$11)),0)</f>
        <v>0</v>
      </c>
      <c r="AH118" s="545">
        <f ca="1">IF(AND($D118="Serviço",AH$12&lt;&gt;0,$H118&gt;0,OR(AUTOEVENTO&lt;&gt;"manual",$M118&lt;&gt;1)),
IF(Import.TipoArredondamento&lt;&gt;"TransfereGOV",
ROUND(OFFSET($P118,0,AH$13),15-13*ORÇAMENTO!$AF$7)/$H118*OFFSET(ORÇAMENTO!$X$15,ROW(AH118)-ROW(AH$15),0),
ROUND(ROUND(OFFSET($P118,0,AH$13),15-13*ORÇAMENTO!$AF$7)*OFFSET(ORÇAMENTO!$W$15,ROW(AH118)-ROW(AH$15),0),15-13*ORÇAMENTO!$AF$11)),0)</f>
        <v>0</v>
      </c>
      <c r="AI118" s="545">
        <f ca="1">IF(AND($D118="Serviço",AI$12&lt;&gt;0,$H118&gt;0,OR(AUTOEVENTO&lt;&gt;"manual",$M118&lt;&gt;1)),
IF(Import.TipoArredondamento&lt;&gt;"TransfereGOV",
ROUND(OFFSET($P118,0,AI$13),15-13*ORÇAMENTO!$AF$7)/$H118*OFFSET(ORÇAMENTO!$X$15,ROW(AI118)-ROW(AI$15),0),
ROUND(ROUND(OFFSET($P118,0,AI$13),15-13*ORÇAMENTO!$AF$7)*OFFSET(ORÇAMENTO!$W$15,ROW(AI118)-ROW(AI$15),0),15-13*ORÇAMENTO!$AF$11)),0)</f>
        <v>0</v>
      </c>
      <c r="AJ118" s="545">
        <f ca="1">IF(AND($D118="Serviço",AJ$12&lt;&gt;0,$H118&gt;0,OR(AUTOEVENTO&lt;&gt;"manual",$M118&lt;&gt;1)),
IF(Import.TipoArredondamento&lt;&gt;"TransfereGOV",
ROUND(OFFSET($P118,0,AJ$13),15-13*ORÇAMENTO!$AF$7)/$H118*OFFSET(ORÇAMENTO!$X$15,ROW(AJ118)-ROW(AJ$15),0),
ROUND(ROUND(OFFSET($P118,0,AJ$13),15-13*ORÇAMENTO!$AF$7)*OFFSET(ORÇAMENTO!$W$15,ROW(AJ118)-ROW(AJ$15),0),15-13*ORÇAMENTO!$AF$11)),0)</f>
        <v>0</v>
      </c>
      <c r="AK118" s="546">
        <f ca="1">IF(AND($D118="Serviço",AK$12&lt;&gt;0,$H118&gt;0,OR(AUTOEVENTO&lt;&gt;"manual",$M118&lt;&gt;1)),
IF(Import.TipoArredondamento&lt;&gt;"TransfereGOV",
ROUND(OFFSET($P118,0,AK$13),15-13*ORÇAMENTO!$AF$7)/$H118*OFFSET(ORÇAMENTO!$X$15,ROW(AK118)-ROW(AK$15),0),
ROUND(ROUND(OFFSET($P118,0,AK$13),15-13*ORÇAMENTO!$AF$7)*OFFSET(ORÇAMENTO!$W$15,ROW(AK118)-ROW(AK$15),0),15-13*ORÇAMENTO!$AF$11)),0)</f>
        <v>0</v>
      </c>
      <c r="AM118" s="181">
        <f ca="1">IF($D118&lt;&gt;"Serviço",0,IF(AND(AUTOEVENTO="Manual",$M118=1),0,IF(OFFSET(CRONOPLE!$F$14,$M118,AM$13)="",10^12,OFFSET(CRONOPLE!$F$14,$M118,AM$13))))</f>
        <v>1000000000000</v>
      </c>
      <c r="AN118" s="181">
        <f ca="1">IF($D118&lt;&gt;"Serviço",0,IF(AND(AUTOEVENTO="Manual",$M118=1),0,IF(OFFSET(CRONOPLE!$F$14,$M118,AN$13)="",10^12,OFFSET(CRONOPLE!$F$14,$M118,AN$13))))</f>
        <v>1000000000000</v>
      </c>
      <c r="AO118" s="181">
        <f ca="1">IF($D118&lt;&gt;"Serviço",0,IF(AND(AUTOEVENTO="Manual",$M118=1),0,IF(OFFSET(CRONOPLE!$F$14,$M118,AO$13)="",10^12,OFFSET(CRONOPLE!$F$14,$M118,AO$13))))</f>
        <v>1000000000000</v>
      </c>
      <c r="AP118" s="181">
        <f ca="1">IF($D118&lt;&gt;"Serviço",0,IF(AND(AUTOEVENTO="Manual",$M118=1),0,IF(OFFSET(CRONOPLE!$F$14,$M118,AP$13)="",10^12,OFFSET(CRONOPLE!$F$14,$M118,AP$13))))</f>
        <v>1000000000000</v>
      </c>
      <c r="AQ118" s="181">
        <f ca="1">IF($D118&lt;&gt;"Serviço",0,IF(AND(AUTOEVENTO="Manual",$M118=1),0,IF(OFFSET(CRONOPLE!$F$14,$M118,AQ$13)="",10^12,OFFSET(CRONOPLE!$F$14,$M118,AQ$13))))</f>
        <v>1000000000000</v>
      </c>
      <c r="AR118" s="181">
        <f ca="1">IF($D118&lt;&gt;"Serviço",0,IF(AND(AUTOEVENTO="Manual",$M118=1),0,IF(OFFSET(CRONOPLE!$F$14,$M118,AR$13)="",10^12,OFFSET(CRONOPLE!$F$14,$M118,AR$13))))</f>
        <v>1000000000000</v>
      </c>
      <c r="AS118" s="181">
        <f ca="1">IF($D118&lt;&gt;"Serviço",0,IF(AND(AUTOEVENTO="Manual",$M118=1),0,IF(OFFSET(CRONOPLE!$F$14,$M118,AS$13)="",10^12,OFFSET(CRONOPLE!$F$14,$M118,AS$13))))</f>
        <v>1000000000000</v>
      </c>
      <c r="AT118" s="181">
        <f ca="1">IF($D118&lt;&gt;"Serviço",0,IF(AND(AUTOEVENTO="Manual",$M118=1),0,IF(OFFSET(CRONOPLE!$F$14,$M118,AT$13)="",10^12,OFFSET(CRONOPLE!$F$14,$M118,AT$13))))</f>
        <v>1000000000000</v>
      </c>
      <c r="AU118" s="181">
        <f ca="1">IF($D118&lt;&gt;"Serviço",0,IF(AND(AUTOEVENTO="Manual",$M118=1),0,IF(OFFSET(CRONOPLE!$F$14,$M118,AU$13)="",10^12,OFFSET(CRONOPLE!$F$14,$M118,AU$13))))</f>
        <v>1000000000000</v>
      </c>
      <c r="AV118" s="181">
        <f ca="1">IF($D118&lt;&gt;"Serviço",0,IF(AND(AUTOEVENTO="Manual",$M118=1),0,IF(OFFSET(CRONOPLE!$F$14,$M118,AV$13)="",10^12,OFFSET(CRONOPLE!$F$14,$M118,AV$13))))</f>
        <v>1000000000000</v>
      </c>
      <c r="AX118" s="182">
        <f ca="1">IF($D118&lt;&gt;"Serviço",0,IF(OR(AND(AUTOEVENTO="Manual",$M118=1),$M118&gt;(ROW(PLE.lastrow)-ROW(PLE.firstrow))),0,IF(OFFSET(PLE!$G$14,$M118,AX$13)="",10^12,OFFSET(PLE!$G$14,$M118,AX$13))))</f>
        <v>1000000000000</v>
      </c>
      <c r="AY118" s="182">
        <f ca="1">IF($D118&lt;&gt;"Serviço",0,IF(OR(AND(AUTOEVENTO="Manual",$M118=1),$M118&gt;(ROW(PLE.lastrow)-ROW(PLE.firstrow))),0,IF(OFFSET(PLE!$G$14,$M118,AY$13)="",10^12,OFFSET(PLE!$G$14,$M118,AY$13))))</f>
        <v>1000000000000</v>
      </c>
      <c r="AZ118" s="182">
        <f ca="1">IF($D118&lt;&gt;"Serviço",0,IF(OR(AND(AUTOEVENTO="Manual",$M118=1),$M118&gt;(ROW(PLE.lastrow)-ROW(PLE.firstrow))),0,IF(OFFSET(PLE!$G$14,$M118,AZ$13)="",10^12,OFFSET(PLE!$G$14,$M118,AZ$13))))</f>
        <v>1000000000000</v>
      </c>
      <c r="BA118" s="182">
        <f ca="1">IF($D118&lt;&gt;"Serviço",0,IF(OR(AND(AUTOEVENTO="Manual",$M118=1),$M118&gt;(ROW(PLE.lastrow)-ROW(PLE.firstrow))),0,IF(OFFSET(PLE!$G$14,$M118,BA$13)="",10^12,OFFSET(PLE!$G$14,$M118,BA$13))))</f>
        <v>1000000000000</v>
      </c>
      <c r="BB118" s="182">
        <f ca="1">IF($D118&lt;&gt;"Serviço",0,IF(OR(AND(AUTOEVENTO="Manual",$M118=1),$M118&gt;(ROW(PLE.lastrow)-ROW(PLE.firstrow))),0,IF(OFFSET(PLE!$G$14,$M118,BB$13)="",10^12,OFFSET(PLE!$G$14,$M118,BB$13))))</f>
        <v>1000000000000</v>
      </c>
      <c r="BC118" s="182">
        <f ca="1">IF($D118&lt;&gt;"Serviço",0,IF(OR(AND(AUTOEVENTO="Manual",$M118=1),$M118&gt;(ROW(PLE.lastrow)-ROW(PLE.firstrow))),0,IF(OFFSET(PLE!$G$14,$M118,BC$13)="",10^12,OFFSET(PLE!$G$14,$M118,BC$13))))</f>
        <v>1000000000000</v>
      </c>
      <c r="BD118" s="182">
        <f ca="1">IF($D118&lt;&gt;"Serviço",0,IF(OR(AND(AUTOEVENTO="Manual",$M118=1),$M118&gt;(ROW(PLE.lastrow)-ROW(PLE.firstrow))),0,IF(OFFSET(PLE!$G$14,$M118,BD$13)="",10^12,OFFSET(PLE!$G$14,$M118,BD$13))))</f>
        <v>1000000000000</v>
      </c>
      <c r="BE118" s="182">
        <f ca="1">IF($D118&lt;&gt;"Serviço",0,IF(OR(AND(AUTOEVENTO="Manual",$M118=1),$M118&gt;(ROW(PLE.lastrow)-ROW(PLE.firstrow))),0,IF(OFFSET(PLE!$G$14,$M118,BE$13)="",10^12,OFFSET(PLE!$G$14,$M118,BE$13))))</f>
        <v>1000000000000</v>
      </c>
      <c r="BF118" s="182">
        <f ca="1">IF($D118&lt;&gt;"Serviço",0,IF(OR(AND(AUTOEVENTO="Manual",$M118=1),$M118&gt;(ROW(PLE.lastrow)-ROW(PLE.firstrow))),0,IF(OFFSET(PLE!$G$14,$M118,BF$13)="",10^12,OFFSET(PLE!$G$14,$M118,BF$13))))</f>
        <v>1000000000000</v>
      </c>
      <c r="BG118" s="182">
        <f ca="1">IF($D118&lt;&gt;"Serviço",0,IF(OR(AND(AUTOEVENTO="Manual",$M118=1),$M118&gt;(ROW(PLE.lastrow)-ROW(PLE.firstrow))),0,IF(OFFSET(PLE!$G$14,$M118,BG$13)="",10^12,OFFSET(PLE!$G$14,$M118,BG$13))))</f>
        <v>1000000000000</v>
      </c>
    </row>
    <row r="119" spans="1:59" ht="25.5" x14ac:dyDescent="0.2">
      <c r="A119" s="7" t="str">
        <f t="shared" ca="1" si="12"/>
        <v>102</v>
      </c>
      <c r="B119" s="7" t="str">
        <f ca="1">OFFSET(ORÇAMENTO!C$15,ROW(B119)-ROW(B$15),0)</f>
        <v>S</v>
      </c>
      <c r="C119" s="7" t="str">
        <f ca="1">OFFSET(ORÇAMENTO!L$15,ROW(C119)-ROW(C$15),0)</f>
        <v>F</v>
      </c>
      <c r="D119" s="118" t="str">
        <f ca="1">OFFSET(ORÇAMENTO!N$15,ROW(D119)-ROW(D$15),0)</f>
        <v>Serviço</v>
      </c>
      <c r="E119" s="119" t="str">
        <f ca="1">OFFSET(ORÇAMENTO!O$15,ROW(E119)-ROW(E$15),0)</f>
        <v>7.1.2.</v>
      </c>
      <c r="F119" s="172" t="str">
        <f ca="1">OFFSET(ORÇAMENTO!R$15,ROW(F119)-ROW(F$15),0)</f>
        <v>PISO INTERNO 6 CM  - INCLUSO LASTRO DE BRITA E CONCRETAGEM ESPESSURA</v>
      </c>
      <c r="G119" s="173" t="str">
        <f ca="1">IF($D119&lt;&gt;"Serviço","",OFFSET(ORÇAMENTO!S$15,ROW(G119)-ROW(G$15),0))</f>
        <v>M2</v>
      </c>
      <c r="H119" s="124">
        <f ca="1">IF($D119&lt;&gt;"Serviço",0,IF(ACOMPANHAMENTO="BM",ROUND(OFFSET(ORÇAMENTO!AJ$15,ROW(H119)-ROW(H$15),0),15-13*ORÇAMENTO!$AF$7),SUMPRODUCT(($Q$12:$AA$12&lt;&gt;"")*ROUND($Q119:$AA119,15-13*ORÇAMENTO!$AF$7))))</f>
        <v>71.010000000000005</v>
      </c>
      <c r="I119" s="561"/>
      <c r="K119" s="174"/>
      <c r="L119" s="175" t="s">
        <v>255</v>
      </c>
      <c r="M119" s="176">
        <f ca="1">IF($D119&lt;&gt;"Serviço","",IF(AUTOEVENTO="manual",$A119,IF(ISERROR(MATCH($A119,$A$15:OFFSET($A119,-1,0),0)),MAX($M$15:OFFSET(M119,-1,0))+1,INDEX($M$15:OFFSET(M119,-1,0),MATCH($A119,$A$15:OFFSET($A119,-1,0),0)))))</f>
        <v>17</v>
      </c>
      <c r="N119" s="177" t="str">
        <f ca="1">IF($D119&lt;&gt;"Serviço","",IF(AUTOEVENTO="Manual",IF($A119=0,"&lt;-- defina o número do agrupador",OFFSET(EVENTOS!$D$14,$A119,0)),OFFSET($F$15,$A119,0)))</f>
        <v>PISO</v>
      </c>
      <c r="O119" s="178"/>
      <c r="Q119" s="178"/>
      <c r="R119" s="179"/>
      <c r="S119" s="179"/>
      <c r="T119" s="179"/>
      <c r="U119" s="179"/>
      <c r="V119" s="179"/>
      <c r="W119" s="179"/>
      <c r="X119" s="179"/>
      <c r="Y119" s="179"/>
      <c r="Z119" s="180"/>
      <c r="AB119" s="544">
        <f ca="1">IF(AND($D119="Serviço",AB$12&lt;&gt;0,$H119&gt;0,OR(AUTOEVENTO&lt;&gt;"manual",$M119&lt;&gt;1)),
IF(Import.TipoArredondamento&lt;&gt;"TransfereGOV",
ROUND(OFFSET($P119,0,AB$13),15-13*ORÇAMENTO!$AF$7)/$H119*OFFSET(ORÇAMENTO!$X$15,ROW(AB119)-ROW(AB$15),0),
ROUND(ROUND(OFFSET($P119,0,AB$13),15-13*ORÇAMENTO!$AF$7)*OFFSET(ORÇAMENTO!$W$15,ROW(AB119)-ROW(AB$15),0),15-13*ORÇAMENTO!$AF$11)),0)</f>
        <v>0</v>
      </c>
      <c r="AC119" s="545">
        <f ca="1">IF(AND($D119="Serviço",AC$12&lt;&gt;0,$H119&gt;0,OR(AUTOEVENTO&lt;&gt;"manual",$M119&lt;&gt;1)),
IF(Import.TipoArredondamento&lt;&gt;"TransfereGOV",
ROUND(OFFSET($P119,0,AC$13),15-13*ORÇAMENTO!$AF$7)/$H119*OFFSET(ORÇAMENTO!$X$15,ROW(AC119)-ROW(AC$15),0),
ROUND(ROUND(OFFSET($P119,0,AC$13),15-13*ORÇAMENTO!$AF$7)*OFFSET(ORÇAMENTO!$W$15,ROW(AC119)-ROW(AC$15),0),15-13*ORÇAMENTO!$AF$11)),0)</f>
        <v>0</v>
      </c>
      <c r="AD119" s="545">
        <f ca="1">IF(AND($D119="Serviço",AD$12&lt;&gt;0,$H119&gt;0,OR(AUTOEVENTO&lt;&gt;"manual",$M119&lt;&gt;1)),
IF(Import.TipoArredondamento&lt;&gt;"TransfereGOV",
ROUND(OFFSET($P119,0,AD$13),15-13*ORÇAMENTO!$AF$7)/$H119*OFFSET(ORÇAMENTO!$X$15,ROW(AD119)-ROW(AD$15),0),
ROUND(ROUND(OFFSET($P119,0,AD$13),15-13*ORÇAMENTO!$AF$7)*OFFSET(ORÇAMENTO!$W$15,ROW(AD119)-ROW(AD$15),0),15-13*ORÇAMENTO!$AF$11)),0)</f>
        <v>0</v>
      </c>
      <c r="AE119" s="545">
        <f ca="1">IF(AND($D119="Serviço",AE$12&lt;&gt;0,$H119&gt;0,OR(AUTOEVENTO&lt;&gt;"manual",$M119&lt;&gt;1)),
IF(Import.TipoArredondamento&lt;&gt;"TransfereGOV",
ROUND(OFFSET($P119,0,AE$13),15-13*ORÇAMENTO!$AF$7)/$H119*OFFSET(ORÇAMENTO!$X$15,ROW(AE119)-ROW(AE$15),0),
ROUND(ROUND(OFFSET($P119,0,AE$13),15-13*ORÇAMENTO!$AF$7)*OFFSET(ORÇAMENTO!$W$15,ROW(AE119)-ROW(AE$15),0),15-13*ORÇAMENTO!$AF$11)),0)</f>
        <v>0</v>
      </c>
      <c r="AF119" s="545">
        <f ca="1">IF(AND($D119="Serviço",AF$12&lt;&gt;0,$H119&gt;0,OR(AUTOEVENTO&lt;&gt;"manual",$M119&lt;&gt;1)),
IF(Import.TipoArredondamento&lt;&gt;"TransfereGOV",
ROUND(OFFSET($P119,0,AF$13),15-13*ORÇAMENTO!$AF$7)/$H119*OFFSET(ORÇAMENTO!$X$15,ROW(AF119)-ROW(AF$15),0),
ROUND(ROUND(OFFSET($P119,0,AF$13),15-13*ORÇAMENTO!$AF$7)*OFFSET(ORÇAMENTO!$W$15,ROW(AF119)-ROW(AF$15),0),15-13*ORÇAMENTO!$AF$11)),0)</f>
        <v>0</v>
      </c>
      <c r="AG119" s="545">
        <f ca="1">IF(AND($D119="Serviço",AG$12&lt;&gt;0,$H119&gt;0,OR(AUTOEVENTO&lt;&gt;"manual",$M119&lt;&gt;1)),
IF(Import.TipoArredondamento&lt;&gt;"TransfereGOV",
ROUND(OFFSET($P119,0,AG$13),15-13*ORÇAMENTO!$AF$7)/$H119*OFFSET(ORÇAMENTO!$X$15,ROW(AG119)-ROW(AG$15),0),
ROUND(ROUND(OFFSET($P119,0,AG$13),15-13*ORÇAMENTO!$AF$7)*OFFSET(ORÇAMENTO!$W$15,ROW(AG119)-ROW(AG$15),0),15-13*ORÇAMENTO!$AF$11)),0)</f>
        <v>0</v>
      </c>
      <c r="AH119" s="545">
        <f ca="1">IF(AND($D119="Serviço",AH$12&lt;&gt;0,$H119&gt;0,OR(AUTOEVENTO&lt;&gt;"manual",$M119&lt;&gt;1)),
IF(Import.TipoArredondamento&lt;&gt;"TransfereGOV",
ROUND(OFFSET($P119,0,AH$13),15-13*ORÇAMENTO!$AF$7)/$H119*OFFSET(ORÇAMENTO!$X$15,ROW(AH119)-ROW(AH$15),0),
ROUND(ROUND(OFFSET($P119,0,AH$13),15-13*ORÇAMENTO!$AF$7)*OFFSET(ORÇAMENTO!$W$15,ROW(AH119)-ROW(AH$15),0),15-13*ORÇAMENTO!$AF$11)),0)</f>
        <v>0</v>
      </c>
      <c r="AI119" s="545">
        <f ca="1">IF(AND($D119="Serviço",AI$12&lt;&gt;0,$H119&gt;0,OR(AUTOEVENTO&lt;&gt;"manual",$M119&lt;&gt;1)),
IF(Import.TipoArredondamento&lt;&gt;"TransfereGOV",
ROUND(OFFSET($P119,0,AI$13),15-13*ORÇAMENTO!$AF$7)/$H119*OFFSET(ORÇAMENTO!$X$15,ROW(AI119)-ROW(AI$15),0),
ROUND(ROUND(OFFSET($P119,0,AI$13),15-13*ORÇAMENTO!$AF$7)*OFFSET(ORÇAMENTO!$W$15,ROW(AI119)-ROW(AI$15),0),15-13*ORÇAMENTO!$AF$11)),0)</f>
        <v>0</v>
      </c>
      <c r="AJ119" s="545">
        <f ca="1">IF(AND($D119="Serviço",AJ$12&lt;&gt;0,$H119&gt;0,OR(AUTOEVENTO&lt;&gt;"manual",$M119&lt;&gt;1)),
IF(Import.TipoArredondamento&lt;&gt;"TransfereGOV",
ROUND(OFFSET($P119,0,AJ$13),15-13*ORÇAMENTO!$AF$7)/$H119*OFFSET(ORÇAMENTO!$X$15,ROW(AJ119)-ROW(AJ$15),0),
ROUND(ROUND(OFFSET($P119,0,AJ$13),15-13*ORÇAMENTO!$AF$7)*OFFSET(ORÇAMENTO!$W$15,ROW(AJ119)-ROW(AJ$15),0),15-13*ORÇAMENTO!$AF$11)),0)</f>
        <v>0</v>
      </c>
      <c r="AK119" s="546">
        <f ca="1">IF(AND($D119="Serviço",AK$12&lt;&gt;0,$H119&gt;0,OR(AUTOEVENTO&lt;&gt;"manual",$M119&lt;&gt;1)),
IF(Import.TipoArredondamento&lt;&gt;"TransfereGOV",
ROUND(OFFSET($P119,0,AK$13),15-13*ORÇAMENTO!$AF$7)/$H119*OFFSET(ORÇAMENTO!$X$15,ROW(AK119)-ROW(AK$15),0),
ROUND(ROUND(OFFSET($P119,0,AK$13),15-13*ORÇAMENTO!$AF$7)*OFFSET(ORÇAMENTO!$W$15,ROW(AK119)-ROW(AK$15),0),15-13*ORÇAMENTO!$AF$11)),0)</f>
        <v>0</v>
      </c>
      <c r="AM119" s="181">
        <f ca="1">IF($D119&lt;&gt;"Serviço",0,IF(AND(AUTOEVENTO="Manual",$M119=1),0,IF(OFFSET(CRONOPLE!$F$14,$M119,AM$13)="",10^12,OFFSET(CRONOPLE!$F$14,$M119,AM$13))))</f>
        <v>1000000000000</v>
      </c>
      <c r="AN119" s="181">
        <f ca="1">IF($D119&lt;&gt;"Serviço",0,IF(AND(AUTOEVENTO="Manual",$M119=1),0,IF(OFFSET(CRONOPLE!$F$14,$M119,AN$13)="",10^12,OFFSET(CRONOPLE!$F$14,$M119,AN$13))))</f>
        <v>1000000000000</v>
      </c>
      <c r="AO119" s="181">
        <f ca="1">IF($D119&lt;&gt;"Serviço",0,IF(AND(AUTOEVENTO="Manual",$M119=1),0,IF(OFFSET(CRONOPLE!$F$14,$M119,AO$13)="",10^12,OFFSET(CRONOPLE!$F$14,$M119,AO$13))))</f>
        <v>1000000000000</v>
      </c>
      <c r="AP119" s="181">
        <f ca="1">IF($D119&lt;&gt;"Serviço",0,IF(AND(AUTOEVENTO="Manual",$M119=1),0,IF(OFFSET(CRONOPLE!$F$14,$M119,AP$13)="",10^12,OFFSET(CRONOPLE!$F$14,$M119,AP$13))))</f>
        <v>1000000000000</v>
      </c>
      <c r="AQ119" s="181">
        <f ca="1">IF($D119&lt;&gt;"Serviço",0,IF(AND(AUTOEVENTO="Manual",$M119=1),0,IF(OFFSET(CRONOPLE!$F$14,$M119,AQ$13)="",10^12,OFFSET(CRONOPLE!$F$14,$M119,AQ$13))))</f>
        <v>1000000000000</v>
      </c>
      <c r="AR119" s="181">
        <f ca="1">IF($D119&lt;&gt;"Serviço",0,IF(AND(AUTOEVENTO="Manual",$M119=1),0,IF(OFFSET(CRONOPLE!$F$14,$M119,AR$13)="",10^12,OFFSET(CRONOPLE!$F$14,$M119,AR$13))))</f>
        <v>1000000000000</v>
      </c>
      <c r="AS119" s="181">
        <f ca="1">IF($D119&lt;&gt;"Serviço",0,IF(AND(AUTOEVENTO="Manual",$M119=1),0,IF(OFFSET(CRONOPLE!$F$14,$M119,AS$13)="",10^12,OFFSET(CRONOPLE!$F$14,$M119,AS$13))))</f>
        <v>1000000000000</v>
      </c>
      <c r="AT119" s="181">
        <f ca="1">IF($D119&lt;&gt;"Serviço",0,IF(AND(AUTOEVENTO="Manual",$M119=1),0,IF(OFFSET(CRONOPLE!$F$14,$M119,AT$13)="",10^12,OFFSET(CRONOPLE!$F$14,$M119,AT$13))))</f>
        <v>1000000000000</v>
      </c>
      <c r="AU119" s="181">
        <f ca="1">IF($D119&lt;&gt;"Serviço",0,IF(AND(AUTOEVENTO="Manual",$M119=1),0,IF(OFFSET(CRONOPLE!$F$14,$M119,AU$13)="",10^12,OFFSET(CRONOPLE!$F$14,$M119,AU$13))))</f>
        <v>1000000000000</v>
      </c>
      <c r="AV119" s="181">
        <f ca="1">IF($D119&lt;&gt;"Serviço",0,IF(AND(AUTOEVENTO="Manual",$M119=1),0,IF(OFFSET(CRONOPLE!$F$14,$M119,AV$13)="",10^12,OFFSET(CRONOPLE!$F$14,$M119,AV$13))))</f>
        <v>1000000000000</v>
      </c>
      <c r="AX119" s="182">
        <f ca="1">IF($D119&lt;&gt;"Serviço",0,IF(OR(AND(AUTOEVENTO="Manual",$M119=1),$M119&gt;(ROW(PLE.lastrow)-ROW(PLE.firstrow))),0,IF(OFFSET(PLE!$G$14,$M119,AX$13)="",10^12,OFFSET(PLE!$G$14,$M119,AX$13))))</f>
        <v>1000000000000</v>
      </c>
      <c r="AY119" s="182">
        <f ca="1">IF($D119&lt;&gt;"Serviço",0,IF(OR(AND(AUTOEVENTO="Manual",$M119=1),$M119&gt;(ROW(PLE.lastrow)-ROW(PLE.firstrow))),0,IF(OFFSET(PLE!$G$14,$M119,AY$13)="",10^12,OFFSET(PLE!$G$14,$M119,AY$13))))</f>
        <v>1000000000000</v>
      </c>
      <c r="AZ119" s="182">
        <f ca="1">IF($D119&lt;&gt;"Serviço",0,IF(OR(AND(AUTOEVENTO="Manual",$M119=1),$M119&gt;(ROW(PLE.lastrow)-ROW(PLE.firstrow))),0,IF(OFFSET(PLE!$G$14,$M119,AZ$13)="",10^12,OFFSET(PLE!$G$14,$M119,AZ$13))))</f>
        <v>1000000000000</v>
      </c>
      <c r="BA119" s="182">
        <f ca="1">IF($D119&lt;&gt;"Serviço",0,IF(OR(AND(AUTOEVENTO="Manual",$M119=1),$M119&gt;(ROW(PLE.lastrow)-ROW(PLE.firstrow))),0,IF(OFFSET(PLE!$G$14,$M119,BA$13)="",10^12,OFFSET(PLE!$G$14,$M119,BA$13))))</f>
        <v>1000000000000</v>
      </c>
      <c r="BB119" s="182">
        <f ca="1">IF($D119&lt;&gt;"Serviço",0,IF(OR(AND(AUTOEVENTO="Manual",$M119=1),$M119&gt;(ROW(PLE.lastrow)-ROW(PLE.firstrow))),0,IF(OFFSET(PLE!$G$14,$M119,BB$13)="",10^12,OFFSET(PLE!$G$14,$M119,BB$13))))</f>
        <v>1000000000000</v>
      </c>
      <c r="BC119" s="182">
        <f ca="1">IF($D119&lt;&gt;"Serviço",0,IF(OR(AND(AUTOEVENTO="Manual",$M119=1),$M119&gt;(ROW(PLE.lastrow)-ROW(PLE.firstrow))),0,IF(OFFSET(PLE!$G$14,$M119,BC$13)="",10^12,OFFSET(PLE!$G$14,$M119,BC$13))))</f>
        <v>1000000000000</v>
      </c>
      <c r="BD119" s="182">
        <f ca="1">IF($D119&lt;&gt;"Serviço",0,IF(OR(AND(AUTOEVENTO="Manual",$M119=1),$M119&gt;(ROW(PLE.lastrow)-ROW(PLE.firstrow))),0,IF(OFFSET(PLE!$G$14,$M119,BD$13)="",10^12,OFFSET(PLE!$G$14,$M119,BD$13))))</f>
        <v>1000000000000</v>
      </c>
      <c r="BE119" s="182">
        <f ca="1">IF($D119&lt;&gt;"Serviço",0,IF(OR(AND(AUTOEVENTO="Manual",$M119=1),$M119&gt;(ROW(PLE.lastrow)-ROW(PLE.firstrow))),0,IF(OFFSET(PLE!$G$14,$M119,BE$13)="",10^12,OFFSET(PLE!$G$14,$M119,BE$13))))</f>
        <v>1000000000000</v>
      </c>
      <c r="BF119" s="182">
        <f ca="1">IF($D119&lt;&gt;"Serviço",0,IF(OR(AND(AUTOEVENTO="Manual",$M119=1),$M119&gt;(ROW(PLE.lastrow)-ROW(PLE.firstrow))),0,IF(OFFSET(PLE!$G$14,$M119,BF$13)="",10^12,OFFSET(PLE!$G$14,$M119,BF$13))))</f>
        <v>1000000000000</v>
      </c>
      <c r="BG119" s="182">
        <f ca="1">IF($D119&lt;&gt;"Serviço",0,IF(OR(AND(AUTOEVENTO="Manual",$M119=1),$M119&gt;(ROW(PLE.lastrow)-ROW(PLE.firstrow))),0,IF(OFFSET(PLE!$G$14,$M119,BG$13)="",10^12,OFFSET(PLE!$G$14,$M119,BG$13))))</f>
        <v>1000000000000</v>
      </c>
    </row>
    <row r="120" spans="1:59" ht="38.25" x14ac:dyDescent="0.2">
      <c r="A120" s="7" t="str">
        <f t="shared" ca="1" si="12"/>
        <v>102</v>
      </c>
      <c r="B120" s="7" t="str">
        <f ca="1">OFFSET(ORÇAMENTO!C$15,ROW(B120)-ROW(B$15),0)</f>
        <v>S</v>
      </c>
      <c r="C120" s="7" t="str">
        <f ca="1">OFFSET(ORÇAMENTO!L$15,ROW(C120)-ROW(C$15),0)</f>
        <v>F</v>
      </c>
      <c r="D120" s="118" t="str">
        <f ca="1">OFFSET(ORÇAMENTO!N$15,ROW(D120)-ROW(D$15),0)</f>
        <v>Serviço</v>
      </c>
      <c r="E120" s="119" t="str">
        <f ca="1">OFFSET(ORÇAMENTO!O$15,ROW(E120)-ROW(E$15),0)</f>
        <v>7.1.3.</v>
      </c>
      <c r="F120" s="172" t="str">
        <f ca="1">OFFSET(ORÇAMENTO!R$15,ROW(F120)-ROW(F$15),0)</f>
        <v>PISO EXTERNO 8 CM - COM LASTRO DE MATERIAL GRANULAR, TELA DE AÇO SOLDADA, CONCRETAGEM, POLIMENTO E JUNTA DE DILATAÇÃO</v>
      </c>
      <c r="G120" s="173" t="str">
        <f ca="1">IF($D120&lt;&gt;"Serviço","",OFFSET(ORÇAMENTO!S$15,ROW(G120)-ROW(G$15),0))</f>
        <v>M2</v>
      </c>
      <c r="H120" s="124">
        <f ca="1">IF($D120&lt;&gt;"Serviço",0,IF(ACOMPANHAMENTO="BM",ROUND(OFFSET(ORÇAMENTO!AJ$15,ROW(H120)-ROW(H$15),0),15-13*ORÇAMENTO!$AF$7),SUMPRODUCT(($Q$12:$AA$12&lt;&gt;"")*ROUND($Q120:$AA120,15-13*ORÇAMENTO!$AF$7))))</f>
        <v>122.82</v>
      </c>
      <c r="I120" s="561"/>
      <c r="K120" s="174"/>
      <c r="L120" s="175" t="s">
        <v>255</v>
      </c>
      <c r="M120" s="176">
        <f ca="1">IF($D120&lt;&gt;"Serviço","",IF(AUTOEVENTO="manual",$A120,IF(ISERROR(MATCH($A120,$A$15:OFFSET($A120,-1,0),0)),MAX($M$15:OFFSET(M120,-1,0))+1,INDEX($M$15:OFFSET(M120,-1,0),MATCH($A120,$A$15:OFFSET($A120,-1,0),0)))))</f>
        <v>17</v>
      </c>
      <c r="N120" s="177" t="str">
        <f ca="1">IF($D120&lt;&gt;"Serviço","",IF(AUTOEVENTO="Manual",IF($A120=0,"&lt;-- defina o número do agrupador",OFFSET(EVENTOS!$D$14,$A120,0)),OFFSET($F$15,$A120,0)))</f>
        <v>PISO</v>
      </c>
      <c r="O120" s="178"/>
      <c r="Q120" s="178"/>
      <c r="R120" s="179"/>
      <c r="S120" s="179"/>
      <c r="T120" s="179"/>
      <c r="U120" s="179"/>
      <c r="V120" s="179"/>
      <c r="W120" s="179"/>
      <c r="X120" s="179"/>
      <c r="Y120" s="179"/>
      <c r="Z120" s="180"/>
      <c r="AB120" s="544">
        <f ca="1">IF(AND($D120="Serviço",AB$12&lt;&gt;0,$H120&gt;0,OR(AUTOEVENTO&lt;&gt;"manual",$M120&lt;&gt;1)),
IF(Import.TipoArredondamento&lt;&gt;"TransfereGOV",
ROUND(OFFSET($P120,0,AB$13),15-13*ORÇAMENTO!$AF$7)/$H120*OFFSET(ORÇAMENTO!$X$15,ROW(AB120)-ROW(AB$15),0),
ROUND(ROUND(OFFSET($P120,0,AB$13),15-13*ORÇAMENTO!$AF$7)*OFFSET(ORÇAMENTO!$W$15,ROW(AB120)-ROW(AB$15),0),15-13*ORÇAMENTO!$AF$11)),0)</f>
        <v>0</v>
      </c>
      <c r="AC120" s="545">
        <f ca="1">IF(AND($D120="Serviço",AC$12&lt;&gt;0,$H120&gt;0,OR(AUTOEVENTO&lt;&gt;"manual",$M120&lt;&gt;1)),
IF(Import.TipoArredondamento&lt;&gt;"TransfereGOV",
ROUND(OFFSET($P120,0,AC$13),15-13*ORÇAMENTO!$AF$7)/$H120*OFFSET(ORÇAMENTO!$X$15,ROW(AC120)-ROW(AC$15),0),
ROUND(ROUND(OFFSET($P120,0,AC$13),15-13*ORÇAMENTO!$AF$7)*OFFSET(ORÇAMENTO!$W$15,ROW(AC120)-ROW(AC$15),0),15-13*ORÇAMENTO!$AF$11)),0)</f>
        <v>0</v>
      </c>
      <c r="AD120" s="545">
        <f ca="1">IF(AND($D120="Serviço",AD$12&lt;&gt;0,$H120&gt;0,OR(AUTOEVENTO&lt;&gt;"manual",$M120&lt;&gt;1)),
IF(Import.TipoArredondamento&lt;&gt;"TransfereGOV",
ROUND(OFFSET($P120,0,AD$13),15-13*ORÇAMENTO!$AF$7)/$H120*OFFSET(ORÇAMENTO!$X$15,ROW(AD120)-ROW(AD$15),0),
ROUND(ROUND(OFFSET($P120,0,AD$13),15-13*ORÇAMENTO!$AF$7)*OFFSET(ORÇAMENTO!$W$15,ROW(AD120)-ROW(AD$15),0),15-13*ORÇAMENTO!$AF$11)),0)</f>
        <v>0</v>
      </c>
      <c r="AE120" s="545">
        <f ca="1">IF(AND($D120="Serviço",AE$12&lt;&gt;0,$H120&gt;0,OR(AUTOEVENTO&lt;&gt;"manual",$M120&lt;&gt;1)),
IF(Import.TipoArredondamento&lt;&gt;"TransfereGOV",
ROUND(OFFSET($P120,0,AE$13),15-13*ORÇAMENTO!$AF$7)/$H120*OFFSET(ORÇAMENTO!$X$15,ROW(AE120)-ROW(AE$15),0),
ROUND(ROUND(OFFSET($P120,0,AE$13),15-13*ORÇAMENTO!$AF$7)*OFFSET(ORÇAMENTO!$W$15,ROW(AE120)-ROW(AE$15),0),15-13*ORÇAMENTO!$AF$11)),0)</f>
        <v>0</v>
      </c>
      <c r="AF120" s="545">
        <f ca="1">IF(AND($D120="Serviço",AF$12&lt;&gt;0,$H120&gt;0,OR(AUTOEVENTO&lt;&gt;"manual",$M120&lt;&gt;1)),
IF(Import.TipoArredondamento&lt;&gt;"TransfereGOV",
ROUND(OFFSET($P120,0,AF$13),15-13*ORÇAMENTO!$AF$7)/$H120*OFFSET(ORÇAMENTO!$X$15,ROW(AF120)-ROW(AF$15),0),
ROUND(ROUND(OFFSET($P120,0,AF$13),15-13*ORÇAMENTO!$AF$7)*OFFSET(ORÇAMENTO!$W$15,ROW(AF120)-ROW(AF$15),0),15-13*ORÇAMENTO!$AF$11)),0)</f>
        <v>0</v>
      </c>
      <c r="AG120" s="545">
        <f ca="1">IF(AND($D120="Serviço",AG$12&lt;&gt;0,$H120&gt;0,OR(AUTOEVENTO&lt;&gt;"manual",$M120&lt;&gt;1)),
IF(Import.TipoArredondamento&lt;&gt;"TransfereGOV",
ROUND(OFFSET($P120,0,AG$13),15-13*ORÇAMENTO!$AF$7)/$H120*OFFSET(ORÇAMENTO!$X$15,ROW(AG120)-ROW(AG$15),0),
ROUND(ROUND(OFFSET($P120,0,AG$13),15-13*ORÇAMENTO!$AF$7)*OFFSET(ORÇAMENTO!$W$15,ROW(AG120)-ROW(AG$15),0),15-13*ORÇAMENTO!$AF$11)),0)</f>
        <v>0</v>
      </c>
      <c r="AH120" s="545">
        <f ca="1">IF(AND($D120="Serviço",AH$12&lt;&gt;0,$H120&gt;0,OR(AUTOEVENTO&lt;&gt;"manual",$M120&lt;&gt;1)),
IF(Import.TipoArredondamento&lt;&gt;"TransfereGOV",
ROUND(OFFSET($P120,0,AH$13),15-13*ORÇAMENTO!$AF$7)/$H120*OFFSET(ORÇAMENTO!$X$15,ROW(AH120)-ROW(AH$15),0),
ROUND(ROUND(OFFSET($P120,0,AH$13),15-13*ORÇAMENTO!$AF$7)*OFFSET(ORÇAMENTO!$W$15,ROW(AH120)-ROW(AH$15),0),15-13*ORÇAMENTO!$AF$11)),0)</f>
        <v>0</v>
      </c>
      <c r="AI120" s="545">
        <f ca="1">IF(AND($D120="Serviço",AI$12&lt;&gt;0,$H120&gt;0,OR(AUTOEVENTO&lt;&gt;"manual",$M120&lt;&gt;1)),
IF(Import.TipoArredondamento&lt;&gt;"TransfereGOV",
ROUND(OFFSET($P120,0,AI$13),15-13*ORÇAMENTO!$AF$7)/$H120*OFFSET(ORÇAMENTO!$X$15,ROW(AI120)-ROW(AI$15),0),
ROUND(ROUND(OFFSET($P120,0,AI$13),15-13*ORÇAMENTO!$AF$7)*OFFSET(ORÇAMENTO!$W$15,ROW(AI120)-ROW(AI$15),0),15-13*ORÇAMENTO!$AF$11)),0)</f>
        <v>0</v>
      </c>
      <c r="AJ120" s="545">
        <f ca="1">IF(AND($D120="Serviço",AJ$12&lt;&gt;0,$H120&gt;0,OR(AUTOEVENTO&lt;&gt;"manual",$M120&lt;&gt;1)),
IF(Import.TipoArredondamento&lt;&gt;"TransfereGOV",
ROUND(OFFSET($P120,0,AJ$13),15-13*ORÇAMENTO!$AF$7)/$H120*OFFSET(ORÇAMENTO!$X$15,ROW(AJ120)-ROW(AJ$15),0),
ROUND(ROUND(OFFSET($P120,0,AJ$13),15-13*ORÇAMENTO!$AF$7)*OFFSET(ORÇAMENTO!$W$15,ROW(AJ120)-ROW(AJ$15),0),15-13*ORÇAMENTO!$AF$11)),0)</f>
        <v>0</v>
      </c>
      <c r="AK120" s="546">
        <f ca="1">IF(AND($D120="Serviço",AK$12&lt;&gt;0,$H120&gt;0,OR(AUTOEVENTO&lt;&gt;"manual",$M120&lt;&gt;1)),
IF(Import.TipoArredondamento&lt;&gt;"TransfereGOV",
ROUND(OFFSET($P120,0,AK$13),15-13*ORÇAMENTO!$AF$7)/$H120*OFFSET(ORÇAMENTO!$X$15,ROW(AK120)-ROW(AK$15),0),
ROUND(ROUND(OFFSET($P120,0,AK$13),15-13*ORÇAMENTO!$AF$7)*OFFSET(ORÇAMENTO!$W$15,ROW(AK120)-ROW(AK$15),0),15-13*ORÇAMENTO!$AF$11)),0)</f>
        <v>0</v>
      </c>
      <c r="AM120" s="181">
        <f ca="1">IF($D120&lt;&gt;"Serviço",0,IF(AND(AUTOEVENTO="Manual",$M120=1),0,IF(OFFSET(CRONOPLE!$F$14,$M120,AM$13)="",10^12,OFFSET(CRONOPLE!$F$14,$M120,AM$13))))</f>
        <v>1000000000000</v>
      </c>
      <c r="AN120" s="181">
        <f ca="1">IF($D120&lt;&gt;"Serviço",0,IF(AND(AUTOEVENTO="Manual",$M120=1),0,IF(OFFSET(CRONOPLE!$F$14,$M120,AN$13)="",10^12,OFFSET(CRONOPLE!$F$14,$M120,AN$13))))</f>
        <v>1000000000000</v>
      </c>
      <c r="AO120" s="181">
        <f ca="1">IF($D120&lt;&gt;"Serviço",0,IF(AND(AUTOEVENTO="Manual",$M120=1),0,IF(OFFSET(CRONOPLE!$F$14,$M120,AO$13)="",10^12,OFFSET(CRONOPLE!$F$14,$M120,AO$13))))</f>
        <v>1000000000000</v>
      </c>
      <c r="AP120" s="181">
        <f ca="1">IF($D120&lt;&gt;"Serviço",0,IF(AND(AUTOEVENTO="Manual",$M120=1),0,IF(OFFSET(CRONOPLE!$F$14,$M120,AP$13)="",10^12,OFFSET(CRONOPLE!$F$14,$M120,AP$13))))</f>
        <v>1000000000000</v>
      </c>
      <c r="AQ120" s="181">
        <f ca="1">IF($D120&lt;&gt;"Serviço",0,IF(AND(AUTOEVENTO="Manual",$M120=1),0,IF(OFFSET(CRONOPLE!$F$14,$M120,AQ$13)="",10^12,OFFSET(CRONOPLE!$F$14,$M120,AQ$13))))</f>
        <v>1000000000000</v>
      </c>
      <c r="AR120" s="181">
        <f ca="1">IF($D120&lt;&gt;"Serviço",0,IF(AND(AUTOEVENTO="Manual",$M120=1),0,IF(OFFSET(CRONOPLE!$F$14,$M120,AR$13)="",10^12,OFFSET(CRONOPLE!$F$14,$M120,AR$13))))</f>
        <v>1000000000000</v>
      </c>
      <c r="AS120" s="181">
        <f ca="1">IF($D120&lt;&gt;"Serviço",0,IF(AND(AUTOEVENTO="Manual",$M120=1),0,IF(OFFSET(CRONOPLE!$F$14,$M120,AS$13)="",10^12,OFFSET(CRONOPLE!$F$14,$M120,AS$13))))</f>
        <v>1000000000000</v>
      </c>
      <c r="AT120" s="181">
        <f ca="1">IF($D120&lt;&gt;"Serviço",0,IF(AND(AUTOEVENTO="Manual",$M120=1),0,IF(OFFSET(CRONOPLE!$F$14,$M120,AT$13)="",10^12,OFFSET(CRONOPLE!$F$14,$M120,AT$13))))</f>
        <v>1000000000000</v>
      </c>
      <c r="AU120" s="181">
        <f ca="1">IF($D120&lt;&gt;"Serviço",0,IF(AND(AUTOEVENTO="Manual",$M120=1),0,IF(OFFSET(CRONOPLE!$F$14,$M120,AU$13)="",10^12,OFFSET(CRONOPLE!$F$14,$M120,AU$13))))</f>
        <v>1000000000000</v>
      </c>
      <c r="AV120" s="181">
        <f ca="1">IF($D120&lt;&gt;"Serviço",0,IF(AND(AUTOEVENTO="Manual",$M120=1),0,IF(OFFSET(CRONOPLE!$F$14,$M120,AV$13)="",10^12,OFFSET(CRONOPLE!$F$14,$M120,AV$13))))</f>
        <v>1000000000000</v>
      </c>
      <c r="AX120" s="182">
        <f ca="1">IF($D120&lt;&gt;"Serviço",0,IF(OR(AND(AUTOEVENTO="Manual",$M120=1),$M120&gt;(ROW(PLE.lastrow)-ROW(PLE.firstrow))),0,IF(OFFSET(PLE!$G$14,$M120,AX$13)="",10^12,OFFSET(PLE!$G$14,$M120,AX$13))))</f>
        <v>1000000000000</v>
      </c>
      <c r="AY120" s="182">
        <f ca="1">IF($D120&lt;&gt;"Serviço",0,IF(OR(AND(AUTOEVENTO="Manual",$M120=1),$M120&gt;(ROW(PLE.lastrow)-ROW(PLE.firstrow))),0,IF(OFFSET(PLE!$G$14,$M120,AY$13)="",10^12,OFFSET(PLE!$G$14,$M120,AY$13))))</f>
        <v>1000000000000</v>
      </c>
      <c r="AZ120" s="182">
        <f ca="1">IF($D120&lt;&gt;"Serviço",0,IF(OR(AND(AUTOEVENTO="Manual",$M120=1),$M120&gt;(ROW(PLE.lastrow)-ROW(PLE.firstrow))),0,IF(OFFSET(PLE!$G$14,$M120,AZ$13)="",10^12,OFFSET(PLE!$G$14,$M120,AZ$13))))</f>
        <v>1000000000000</v>
      </c>
      <c r="BA120" s="182">
        <f ca="1">IF($D120&lt;&gt;"Serviço",0,IF(OR(AND(AUTOEVENTO="Manual",$M120=1),$M120&gt;(ROW(PLE.lastrow)-ROW(PLE.firstrow))),0,IF(OFFSET(PLE!$G$14,$M120,BA$13)="",10^12,OFFSET(PLE!$G$14,$M120,BA$13))))</f>
        <v>1000000000000</v>
      </c>
      <c r="BB120" s="182">
        <f ca="1">IF($D120&lt;&gt;"Serviço",0,IF(OR(AND(AUTOEVENTO="Manual",$M120=1),$M120&gt;(ROW(PLE.lastrow)-ROW(PLE.firstrow))),0,IF(OFFSET(PLE!$G$14,$M120,BB$13)="",10^12,OFFSET(PLE!$G$14,$M120,BB$13))))</f>
        <v>1000000000000</v>
      </c>
      <c r="BC120" s="182">
        <f ca="1">IF($D120&lt;&gt;"Serviço",0,IF(OR(AND(AUTOEVENTO="Manual",$M120=1),$M120&gt;(ROW(PLE.lastrow)-ROW(PLE.firstrow))),0,IF(OFFSET(PLE!$G$14,$M120,BC$13)="",10^12,OFFSET(PLE!$G$14,$M120,BC$13))))</f>
        <v>1000000000000</v>
      </c>
      <c r="BD120" s="182">
        <f ca="1">IF($D120&lt;&gt;"Serviço",0,IF(OR(AND(AUTOEVENTO="Manual",$M120=1),$M120&gt;(ROW(PLE.lastrow)-ROW(PLE.firstrow))),0,IF(OFFSET(PLE!$G$14,$M120,BD$13)="",10^12,OFFSET(PLE!$G$14,$M120,BD$13))))</f>
        <v>1000000000000</v>
      </c>
      <c r="BE120" s="182">
        <f ca="1">IF($D120&lt;&gt;"Serviço",0,IF(OR(AND(AUTOEVENTO="Manual",$M120=1),$M120&gt;(ROW(PLE.lastrow)-ROW(PLE.firstrow))),0,IF(OFFSET(PLE!$G$14,$M120,BE$13)="",10^12,OFFSET(PLE!$G$14,$M120,BE$13))))</f>
        <v>1000000000000</v>
      </c>
      <c r="BF120" s="182">
        <f ca="1">IF($D120&lt;&gt;"Serviço",0,IF(OR(AND(AUTOEVENTO="Manual",$M120=1),$M120&gt;(ROW(PLE.lastrow)-ROW(PLE.firstrow))),0,IF(OFFSET(PLE!$G$14,$M120,BF$13)="",10^12,OFFSET(PLE!$G$14,$M120,BF$13))))</f>
        <v>1000000000000</v>
      </c>
      <c r="BG120" s="182">
        <f ca="1">IF($D120&lt;&gt;"Serviço",0,IF(OR(AND(AUTOEVENTO="Manual",$M120=1),$M120&gt;(ROW(PLE.lastrow)-ROW(PLE.firstrow))),0,IF(OFFSET(PLE!$G$14,$M120,BG$13)="",10^12,OFFSET(PLE!$G$14,$M120,BG$13))))</f>
        <v>1000000000000</v>
      </c>
    </row>
    <row r="121" spans="1:59" ht="38.25" x14ac:dyDescent="0.2">
      <c r="A121" s="7" t="str">
        <f t="shared" ca="1" si="12"/>
        <v>102</v>
      </c>
      <c r="B121" s="7" t="str">
        <f ca="1">OFFSET(ORÇAMENTO!C$15,ROW(B121)-ROW(B$15),0)</f>
        <v>S</v>
      </c>
      <c r="C121" s="7" t="str">
        <f ca="1">OFFSET(ORÇAMENTO!L$15,ROW(C121)-ROW(C$15),0)</f>
        <v>F</v>
      </c>
      <c r="D121" s="118" t="str">
        <f ca="1">OFFSET(ORÇAMENTO!N$15,ROW(D121)-ROW(D$15),0)</f>
        <v>Serviço</v>
      </c>
      <c r="E121" s="119" t="str">
        <f ca="1">OFFSET(ORÇAMENTO!O$15,ROW(E121)-ROW(E$15),0)</f>
        <v>7.1.4.</v>
      </c>
      <c r="F121" s="172" t="str">
        <f ca="1">OFFSET(ORÇAMENTO!R$15,ROW(F121)-ROW(F$15),0)</f>
        <v>REVESTIMENTO CERÂMICO PARA PISO COM PLACAS TIPO ESMALTADA DE DIMENSÕES 35X35 CM APLICADA EM AMBIENTES DE ÁREA MAIOR QUE 10 M2. AF_02/2023_PE</v>
      </c>
      <c r="G121" s="173" t="str">
        <f ca="1">IF($D121&lt;&gt;"Serviço","",OFFSET(ORÇAMENTO!S$15,ROW(G121)-ROW(G$15),0))</f>
        <v>M2</v>
      </c>
      <c r="H121" s="124">
        <f ca="1">IF($D121&lt;&gt;"Serviço",0,IF(ACOMPANHAMENTO="BM",ROUND(OFFSET(ORÇAMENTO!AJ$15,ROW(H121)-ROW(H$15),0),15-13*ORÇAMENTO!$AF$7),SUMPRODUCT(($Q$12:$AA$12&lt;&gt;"")*ROUND($Q121:$AA121,15-13*ORÇAMENTO!$AF$7))))</f>
        <v>71.010000000000005</v>
      </c>
      <c r="I121" s="561"/>
      <c r="K121" s="174"/>
      <c r="L121" s="175" t="s">
        <v>255</v>
      </c>
      <c r="M121" s="176">
        <f ca="1">IF($D121&lt;&gt;"Serviço","",IF(AUTOEVENTO="manual",$A121,IF(ISERROR(MATCH($A121,$A$15:OFFSET($A121,-1,0),0)),MAX($M$15:OFFSET(M121,-1,0))+1,INDEX($M$15:OFFSET(M121,-1,0),MATCH($A121,$A$15:OFFSET($A121,-1,0),0)))))</f>
        <v>17</v>
      </c>
      <c r="N121" s="177" t="str">
        <f ca="1">IF($D121&lt;&gt;"Serviço","",IF(AUTOEVENTO="Manual",IF($A121=0,"&lt;-- defina o número do agrupador",OFFSET(EVENTOS!$D$14,$A121,0)),OFFSET($F$15,$A121,0)))</f>
        <v>PISO</v>
      </c>
      <c r="O121" s="178"/>
      <c r="Q121" s="178"/>
      <c r="R121" s="179"/>
      <c r="S121" s="179"/>
      <c r="T121" s="179"/>
      <c r="U121" s="179"/>
      <c r="V121" s="179"/>
      <c r="W121" s="179"/>
      <c r="X121" s="179"/>
      <c r="Y121" s="179"/>
      <c r="Z121" s="180"/>
      <c r="AB121" s="544">
        <f ca="1">IF(AND($D121="Serviço",AB$12&lt;&gt;0,$H121&gt;0,OR(AUTOEVENTO&lt;&gt;"manual",$M121&lt;&gt;1)),
IF(Import.TipoArredondamento&lt;&gt;"TransfereGOV",
ROUND(OFFSET($P121,0,AB$13),15-13*ORÇAMENTO!$AF$7)/$H121*OFFSET(ORÇAMENTO!$X$15,ROW(AB121)-ROW(AB$15),0),
ROUND(ROUND(OFFSET($P121,0,AB$13),15-13*ORÇAMENTO!$AF$7)*OFFSET(ORÇAMENTO!$W$15,ROW(AB121)-ROW(AB$15),0),15-13*ORÇAMENTO!$AF$11)),0)</f>
        <v>0</v>
      </c>
      <c r="AC121" s="545">
        <f ca="1">IF(AND($D121="Serviço",AC$12&lt;&gt;0,$H121&gt;0,OR(AUTOEVENTO&lt;&gt;"manual",$M121&lt;&gt;1)),
IF(Import.TipoArredondamento&lt;&gt;"TransfereGOV",
ROUND(OFFSET($P121,0,AC$13),15-13*ORÇAMENTO!$AF$7)/$H121*OFFSET(ORÇAMENTO!$X$15,ROW(AC121)-ROW(AC$15),0),
ROUND(ROUND(OFFSET($P121,0,AC$13),15-13*ORÇAMENTO!$AF$7)*OFFSET(ORÇAMENTO!$W$15,ROW(AC121)-ROW(AC$15),0),15-13*ORÇAMENTO!$AF$11)),0)</f>
        <v>0</v>
      </c>
      <c r="AD121" s="545">
        <f ca="1">IF(AND($D121="Serviço",AD$12&lt;&gt;0,$H121&gt;0,OR(AUTOEVENTO&lt;&gt;"manual",$M121&lt;&gt;1)),
IF(Import.TipoArredondamento&lt;&gt;"TransfereGOV",
ROUND(OFFSET($P121,0,AD$13),15-13*ORÇAMENTO!$AF$7)/$H121*OFFSET(ORÇAMENTO!$X$15,ROW(AD121)-ROW(AD$15),0),
ROUND(ROUND(OFFSET($P121,0,AD$13),15-13*ORÇAMENTO!$AF$7)*OFFSET(ORÇAMENTO!$W$15,ROW(AD121)-ROW(AD$15),0),15-13*ORÇAMENTO!$AF$11)),0)</f>
        <v>0</v>
      </c>
      <c r="AE121" s="545">
        <f ca="1">IF(AND($D121="Serviço",AE$12&lt;&gt;0,$H121&gt;0,OR(AUTOEVENTO&lt;&gt;"manual",$M121&lt;&gt;1)),
IF(Import.TipoArredondamento&lt;&gt;"TransfereGOV",
ROUND(OFFSET($P121,0,AE$13),15-13*ORÇAMENTO!$AF$7)/$H121*OFFSET(ORÇAMENTO!$X$15,ROW(AE121)-ROW(AE$15),0),
ROUND(ROUND(OFFSET($P121,0,AE$13),15-13*ORÇAMENTO!$AF$7)*OFFSET(ORÇAMENTO!$W$15,ROW(AE121)-ROW(AE$15),0),15-13*ORÇAMENTO!$AF$11)),0)</f>
        <v>0</v>
      </c>
      <c r="AF121" s="545">
        <f ca="1">IF(AND($D121="Serviço",AF$12&lt;&gt;0,$H121&gt;0,OR(AUTOEVENTO&lt;&gt;"manual",$M121&lt;&gt;1)),
IF(Import.TipoArredondamento&lt;&gt;"TransfereGOV",
ROUND(OFFSET($P121,0,AF$13),15-13*ORÇAMENTO!$AF$7)/$H121*OFFSET(ORÇAMENTO!$X$15,ROW(AF121)-ROW(AF$15),0),
ROUND(ROUND(OFFSET($P121,0,AF$13),15-13*ORÇAMENTO!$AF$7)*OFFSET(ORÇAMENTO!$W$15,ROW(AF121)-ROW(AF$15),0),15-13*ORÇAMENTO!$AF$11)),0)</f>
        <v>0</v>
      </c>
      <c r="AG121" s="545">
        <f ca="1">IF(AND($D121="Serviço",AG$12&lt;&gt;0,$H121&gt;0,OR(AUTOEVENTO&lt;&gt;"manual",$M121&lt;&gt;1)),
IF(Import.TipoArredondamento&lt;&gt;"TransfereGOV",
ROUND(OFFSET($P121,0,AG$13),15-13*ORÇAMENTO!$AF$7)/$H121*OFFSET(ORÇAMENTO!$X$15,ROW(AG121)-ROW(AG$15),0),
ROUND(ROUND(OFFSET($P121,0,AG$13),15-13*ORÇAMENTO!$AF$7)*OFFSET(ORÇAMENTO!$W$15,ROW(AG121)-ROW(AG$15),0),15-13*ORÇAMENTO!$AF$11)),0)</f>
        <v>0</v>
      </c>
      <c r="AH121" s="545">
        <f ca="1">IF(AND($D121="Serviço",AH$12&lt;&gt;0,$H121&gt;0,OR(AUTOEVENTO&lt;&gt;"manual",$M121&lt;&gt;1)),
IF(Import.TipoArredondamento&lt;&gt;"TransfereGOV",
ROUND(OFFSET($P121,0,AH$13),15-13*ORÇAMENTO!$AF$7)/$H121*OFFSET(ORÇAMENTO!$X$15,ROW(AH121)-ROW(AH$15),0),
ROUND(ROUND(OFFSET($P121,0,AH$13),15-13*ORÇAMENTO!$AF$7)*OFFSET(ORÇAMENTO!$W$15,ROW(AH121)-ROW(AH$15),0),15-13*ORÇAMENTO!$AF$11)),0)</f>
        <v>0</v>
      </c>
      <c r="AI121" s="545">
        <f ca="1">IF(AND($D121="Serviço",AI$12&lt;&gt;0,$H121&gt;0,OR(AUTOEVENTO&lt;&gt;"manual",$M121&lt;&gt;1)),
IF(Import.TipoArredondamento&lt;&gt;"TransfereGOV",
ROUND(OFFSET($P121,0,AI$13),15-13*ORÇAMENTO!$AF$7)/$H121*OFFSET(ORÇAMENTO!$X$15,ROW(AI121)-ROW(AI$15),0),
ROUND(ROUND(OFFSET($P121,0,AI$13),15-13*ORÇAMENTO!$AF$7)*OFFSET(ORÇAMENTO!$W$15,ROW(AI121)-ROW(AI$15),0),15-13*ORÇAMENTO!$AF$11)),0)</f>
        <v>0</v>
      </c>
      <c r="AJ121" s="545">
        <f ca="1">IF(AND($D121="Serviço",AJ$12&lt;&gt;0,$H121&gt;0,OR(AUTOEVENTO&lt;&gt;"manual",$M121&lt;&gt;1)),
IF(Import.TipoArredondamento&lt;&gt;"TransfereGOV",
ROUND(OFFSET($P121,0,AJ$13),15-13*ORÇAMENTO!$AF$7)/$H121*OFFSET(ORÇAMENTO!$X$15,ROW(AJ121)-ROW(AJ$15),0),
ROUND(ROUND(OFFSET($P121,0,AJ$13),15-13*ORÇAMENTO!$AF$7)*OFFSET(ORÇAMENTO!$W$15,ROW(AJ121)-ROW(AJ$15),0),15-13*ORÇAMENTO!$AF$11)),0)</f>
        <v>0</v>
      </c>
      <c r="AK121" s="546">
        <f ca="1">IF(AND($D121="Serviço",AK$12&lt;&gt;0,$H121&gt;0,OR(AUTOEVENTO&lt;&gt;"manual",$M121&lt;&gt;1)),
IF(Import.TipoArredondamento&lt;&gt;"TransfereGOV",
ROUND(OFFSET($P121,0,AK$13),15-13*ORÇAMENTO!$AF$7)/$H121*OFFSET(ORÇAMENTO!$X$15,ROW(AK121)-ROW(AK$15),0),
ROUND(ROUND(OFFSET($P121,0,AK$13),15-13*ORÇAMENTO!$AF$7)*OFFSET(ORÇAMENTO!$W$15,ROW(AK121)-ROW(AK$15),0),15-13*ORÇAMENTO!$AF$11)),0)</f>
        <v>0</v>
      </c>
      <c r="AM121" s="181">
        <f ca="1">IF($D121&lt;&gt;"Serviço",0,IF(AND(AUTOEVENTO="Manual",$M121=1),0,IF(OFFSET(CRONOPLE!$F$14,$M121,AM$13)="",10^12,OFFSET(CRONOPLE!$F$14,$M121,AM$13))))</f>
        <v>1000000000000</v>
      </c>
      <c r="AN121" s="181">
        <f ca="1">IF($D121&lt;&gt;"Serviço",0,IF(AND(AUTOEVENTO="Manual",$M121=1),0,IF(OFFSET(CRONOPLE!$F$14,$M121,AN$13)="",10^12,OFFSET(CRONOPLE!$F$14,$M121,AN$13))))</f>
        <v>1000000000000</v>
      </c>
      <c r="AO121" s="181">
        <f ca="1">IF($D121&lt;&gt;"Serviço",0,IF(AND(AUTOEVENTO="Manual",$M121=1),0,IF(OFFSET(CRONOPLE!$F$14,$M121,AO$13)="",10^12,OFFSET(CRONOPLE!$F$14,$M121,AO$13))))</f>
        <v>1000000000000</v>
      </c>
      <c r="AP121" s="181">
        <f ca="1">IF($D121&lt;&gt;"Serviço",0,IF(AND(AUTOEVENTO="Manual",$M121=1),0,IF(OFFSET(CRONOPLE!$F$14,$M121,AP$13)="",10^12,OFFSET(CRONOPLE!$F$14,$M121,AP$13))))</f>
        <v>1000000000000</v>
      </c>
      <c r="AQ121" s="181">
        <f ca="1">IF($D121&lt;&gt;"Serviço",0,IF(AND(AUTOEVENTO="Manual",$M121=1),0,IF(OFFSET(CRONOPLE!$F$14,$M121,AQ$13)="",10^12,OFFSET(CRONOPLE!$F$14,$M121,AQ$13))))</f>
        <v>1000000000000</v>
      </c>
      <c r="AR121" s="181">
        <f ca="1">IF($D121&lt;&gt;"Serviço",0,IF(AND(AUTOEVENTO="Manual",$M121=1),0,IF(OFFSET(CRONOPLE!$F$14,$M121,AR$13)="",10^12,OFFSET(CRONOPLE!$F$14,$M121,AR$13))))</f>
        <v>1000000000000</v>
      </c>
      <c r="AS121" s="181">
        <f ca="1">IF($D121&lt;&gt;"Serviço",0,IF(AND(AUTOEVENTO="Manual",$M121=1),0,IF(OFFSET(CRONOPLE!$F$14,$M121,AS$13)="",10^12,OFFSET(CRONOPLE!$F$14,$M121,AS$13))))</f>
        <v>1000000000000</v>
      </c>
      <c r="AT121" s="181">
        <f ca="1">IF($D121&lt;&gt;"Serviço",0,IF(AND(AUTOEVENTO="Manual",$M121=1),0,IF(OFFSET(CRONOPLE!$F$14,$M121,AT$13)="",10^12,OFFSET(CRONOPLE!$F$14,$M121,AT$13))))</f>
        <v>1000000000000</v>
      </c>
      <c r="AU121" s="181">
        <f ca="1">IF($D121&lt;&gt;"Serviço",0,IF(AND(AUTOEVENTO="Manual",$M121=1),0,IF(OFFSET(CRONOPLE!$F$14,$M121,AU$13)="",10^12,OFFSET(CRONOPLE!$F$14,$M121,AU$13))))</f>
        <v>1000000000000</v>
      </c>
      <c r="AV121" s="181">
        <f ca="1">IF($D121&lt;&gt;"Serviço",0,IF(AND(AUTOEVENTO="Manual",$M121=1),0,IF(OFFSET(CRONOPLE!$F$14,$M121,AV$13)="",10^12,OFFSET(CRONOPLE!$F$14,$M121,AV$13))))</f>
        <v>1000000000000</v>
      </c>
      <c r="AX121" s="182">
        <f ca="1">IF($D121&lt;&gt;"Serviço",0,IF(OR(AND(AUTOEVENTO="Manual",$M121=1),$M121&gt;(ROW(PLE.lastrow)-ROW(PLE.firstrow))),0,IF(OFFSET(PLE!$G$14,$M121,AX$13)="",10^12,OFFSET(PLE!$G$14,$M121,AX$13))))</f>
        <v>1000000000000</v>
      </c>
      <c r="AY121" s="182">
        <f ca="1">IF($D121&lt;&gt;"Serviço",0,IF(OR(AND(AUTOEVENTO="Manual",$M121=1),$M121&gt;(ROW(PLE.lastrow)-ROW(PLE.firstrow))),0,IF(OFFSET(PLE!$G$14,$M121,AY$13)="",10^12,OFFSET(PLE!$G$14,$M121,AY$13))))</f>
        <v>1000000000000</v>
      </c>
      <c r="AZ121" s="182">
        <f ca="1">IF($D121&lt;&gt;"Serviço",0,IF(OR(AND(AUTOEVENTO="Manual",$M121=1),$M121&gt;(ROW(PLE.lastrow)-ROW(PLE.firstrow))),0,IF(OFFSET(PLE!$G$14,$M121,AZ$13)="",10^12,OFFSET(PLE!$G$14,$M121,AZ$13))))</f>
        <v>1000000000000</v>
      </c>
      <c r="BA121" s="182">
        <f ca="1">IF($D121&lt;&gt;"Serviço",0,IF(OR(AND(AUTOEVENTO="Manual",$M121=1),$M121&gt;(ROW(PLE.lastrow)-ROW(PLE.firstrow))),0,IF(OFFSET(PLE!$G$14,$M121,BA$13)="",10^12,OFFSET(PLE!$G$14,$M121,BA$13))))</f>
        <v>1000000000000</v>
      </c>
      <c r="BB121" s="182">
        <f ca="1">IF($D121&lt;&gt;"Serviço",0,IF(OR(AND(AUTOEVENTO="Manual",$M121=1),$M121&gt;(ROW(PLE.lastrow)-ROW(PLE.firstrow))),0,IF(OFFSET(PLE!$G$14,$M121,BB$13)="",10^12,OFFSET(PLE!$G$14,$M121,BB$13))))</f>
        <v>1000000000000</v>
      </c>
      <c r="BC121" s="182">
        <f ca="1">IF($D121&lt;&gt;"Serviço",0,IF(OR(AND(AUTOEVENTO="Manual",$M121=1),$M121&gt;(ROW(PLE.lastrow)-ROW(PLE.firstrow))),0,IF(OFFSET(PLE!$G$14,$M121,BC$13)="",10^12,OFFSET(PLE!$G$14,$M121,BC$13))))</f>
        <v>1000000000000</v>
      </c>
      <c r="BD121" s="182">
        <f ca="1">IF($D121&lt;&gt;"Serviço",0,IF(OR(AND(AUTOEVENTO="Manual",$M121=1),$M121&gt;(ROW(PLE.lastrow)-ROW(PLE.firstrow))),0,IF(OFFSET(PLE!$G$14,$M121,BD$13)="",10^12,OFFSET(PLE!$G$14,$M121,BD$13))))</f>
        <v>1000000000000</v>
      </c>
      <c r="BE121" s="182">
        <f ca="1">IF($D121&lt;&gt;"Serviço",0,IF(OR(AND(AUTOEVENTO="Manual",$M121=1),$M121&gt;(ROW(PLE.lastrow)-ROW(PLE.firstrow))),0,IF(OFFSET(PLE!$G$14,$M121,BE$13)="",10^12,OFFSET(PLE!$G$14,$M121,BE$13))))</f>
        <v>1000000000000</v>
      </c>
      <c r="BF121" s="182">
        <f ca="1">IF($D121&lt;&gt;"Serviço",0,IF(OR(AND(AUTOEVENTO="Manual",$M121=1),$M121&gt;(ROW(PLE.lastrow)-ROW(PLE.firstrow))),0,IF(OFFSET(PLE!$G$14,$M121,BF$13)="",10^12,OFFSET(PLE!$G$14,$M121,BF$13))))</f>
        <v>1000000000000</v>
      </c>
      <c r="BG121" s="182">
        <f ca="1">IF($D121&lt;&gt;"Serviço",0,IF(OR(AND(AUTOEVENTO="Manual",$M121=1),$M121&gt;(ROW(PLE.lastrow)-ROW(PLE.firstrow))),0,IF(OFFSET(PLE!$G$14,$M121,BG$13)="",10^12,OFFSET(PLE!$G$14,$M121,BG$13))))</f>
        <v>1000000000000</v>
      </c>
    </row>
    <row r="122" spans="1:59" ht="12.75" x14ac:dyDescent="0.2">
      <c r="A122" s="7" t="str">
        <f ca="1">IF(AUTOEVENTO="Manual",IF(K122&lt;&gt;"",MIN(VALUE(LEFT(K122,FIND(".",K122)-1)),COUNTA(EVENTOS.Lista)),0),IF(OR($B122&gt;AUTOEVENTO,$B122="S",$B122=0),SUBSTITUTE(OFFSET($A122,-1,0),IF($D122="Serviço",".",""),""),ROW(A122)-ROW($A$15)&amp;"."))</f>
        <v>107.</v>
      </c>
      <c r="B122" s="7">
        <f ca="1">OFFSET(ORÇAMENTO!C$15,ROW(B122)-ROW(B$15),0)</f>
        <v>1</v>
      </c>
      <c r="C122" s="7" t="str">
        <f ca="1">OFFSET(ORÇAMENTO!L$15,ROW(C122)-ROW(C$15),0)</f>
        <v>F</v>
      </c>
      <c r="D122" s="118" t="str">
        <f ca="1">OFFSET(ORÇAMENTO!N$15,ROW(D122)-ROW(D$15),0)</f>
        <v>Meta</v>
      </c>
      <c r="E122" s="119" t="str">
        <f ca="1">OFFSET(ORÇAMENTO!O$15,ROW(E122)-ROW(E$15),0)</f>
        <v>8.</v>
      </c>
      <c r="F122" s="172" t="str">
        <f ca="1">OFFSET(ORÇAMENTO!R$15,ROW(F122)-ROW(F$15),0)</f>
        <v xml:space="preserve">ACABAMENTOS </v>
      </c>
      <c r="G122" s="173" t="str">
        <f ca="1">IF($D122&lt;&gt;"Serviço","",OFFSET(ORÇAMENTO!S$15,ROW(G122)-ROW(G$15),0))</f>
        <v/>
      </c>
      <c r="H122" s="124">
        <f ca="1">IF($D122&lt;&gt;"Serviço",0,IF(ACOMPANHAMENTO="BM",ROUND(OFFSET(ORÇAMENTO!AJ$15,ROW(H122)-ROW(H$15),0),15-13*ORÇAMENTO!$AF$7),SUMPRODUCT(($Q$12:$AA$12&lt;&gt;"")*ROUND($Q122:$AA122,15-13*ORÇAMENTO!$AF$7))))</f>
        <v>0</v>
      </c>
      <c r="I122" s="561"/>
      <c r="K122" s="174"/>
      <c r="L122" s="175" t="s">
        <v>255</v>
      </c>
      <c r="M122" s="176" t="str">
        <f ca="1">IF($D122&lt;&gt;"Serviço","",IF(AUTOEVENTO="manual",$A122,IF(ISERROR(MATCH($A122,$A$15:OFFSET($A122,-1,0),0)),MAX($M$15:OFFSET(M122,-1,0))+1,INDEX($M$15:OFFSET(M122,-1,0),MATCH($A122,$A$15:OFFSET($A122,-1,0),0)))))</f>
        <v/>
      </c>
      <c r="N122" s="177" t="str">
        <f ca="1">IF($D122&lt;&gt;"Serviço","",IF(AUTOEVENTO="Manual",IF($A122=0,"&lt;-- defina o número do agrupador",OFFSET(EVENTOS!$D$14,$A122,0)),OFFSET($F$15,$A122,0)))</f>
        <v/>
      </c>
      <c r="O122" s="178"/>
      <c r="Q122" s="178"/>
      <c r="R122" s="179"/>
      <c r="S122" s="179"/>
      <c r="T122" s="179"/>
      <c r="U122" s="179"/>
      <c r="V122" s="179"/>
      <c r="W122" s="179"/>
      <c r="X122" s="179"/>
      <c r="Y122" s="179"/>
      <c r="Z122" s="180"/>
      <c r="AB122" s="544">
        <f ca="1">IF(AND($D122="Serviço",AB$12&lt;&gt;0,$H122&gt;0,OR(AUTOEVENTO&lt;&gt;"manual",$M122&lt;&gt;1)),
IF(Import.TipoArredondamento&lt;&gt;"TransfereGOV",
ROUND(OFFSET($P122,0,AB$13),15-13*ORÇAMENTO!$AF$7)/$H122*OFFSET(ORÇAMENTO!$X$15,ROW(AB122)-ROW(AB$15),0),
ROUND(ROUND(OFFSET($P122,0,AB$13),15-13*ORÇAMENTO!$AF$7)*OFFSET(ORÇAMENTO!$W$15,ROW(AB122)-ROW(AB$15),0),15-13*ORÇAMENTO!$AF$11)),0)</f>
        <v>0</v>
      </c>
      <c r="AC122" s="545">
        <f ca="1">IF(AND($D122="Serviço",AC$12&lt;&gt;0,$H122&gt;0,OR(AUTOEVENTO&lt;&gt;"manual",$M122&lt;&gt;1)),
IF(Import.TipoArredondamento&lt;&gt;"TransfereGOV",
ROUND(OFFSET($P122,0,AC$13),15-13*ORÇAMENTO!$AF$7)/$H122*OFFSET(ORÇAMENTO!$X$15,ROW(AC122)-ROW(AC$15),0),
ROUND(ROUND(OFFSET($P122,0,AC$13),15-13*ORÇAMENTO!$AF$7)*OFFSET(ORÇAMENTO!$W$15,ROW(AC122)-ROW(AC$15),0),15-13*ORÇAMENTO!$AF$11)),0)</f>
        <v>0</v>
      </c>
      <c r="AD122" s="545">
        <f ca="1">IF(AND($D122="Serviço",AD$12&lt;&gt;0,$H122&gt;0,OR(AUTOEVENTO&lt;&gt;"manual",$M122&lt;&gt;1)),
IF(Import.TipoArredondamento&lt;&gt;"TransfereGOV",
ROUND(OFFSET($P122,0,AD$13),15-13*ORÇAMENTO!$AF$7)/$H122*OFFSET(ORÇAMENTO!$X$15,ROW(AD122)-ROW(AD$15),0),
ROUND(ROUND(OFFSET($P122,0,AD$13),15-13*ORÇAMENTO!$AF$7)*OFFSET(ORÇAMENTO!$W$15,ROW(AD122)-ROW(AD$15),0),15-13*ORÇAMENTO!$AF$11)),0)</f>
        <v>0</v>
      </c>
      <c r="AE122" s="545">
        <f ca="1">IF(AND($D122="Serviço",AE$12&lt;&gt;0,$H122&gt;0,OR(AUTOEVENTO&lt;&gt;"manual",$M122&lt;&gt;1)),
IF(Import.TipoArredondamento&lt;&gt;"TransfereGOV",
ROUND(OFFSET($P122,0,AE$13),15-13*ORÇAMENTO!$AF$7)/$H122*OFFSET(ORÇAMENTO!$X$15,ROW(AE122)-ROW(AE$15),0),
ROUND(ROUND(OFFSET($P122,0,AE$13),15-13*ORÇAMENTO!$AF$7)*OFFSET(ORÇAMENTO!$W$15,ROW(AE122)-ROW(AE$15),0),15-13*ORÇAMENTO!$AF$11)),0)</f>
        <v>0</v>
      </c>
      <c r="AF122" s="545">
        <f ca="1">IF(AND($D122="Serviço",AF$12&lt;&gt;0,$H122&gt;0,OR(AUTOEVENTO&lt;&gt;"manual",$M122&lt;&gt;1)),
IF(Import.TipoArredondamento&lt;&gt;"TransfereGOV",
ROUND(OFFSET($P122,0,AF$13),15-13*ORÇAMENTO!$AF$7)/$H122*OFFSET(ORÇAMENTO!$X$15,ROW(AF122)-ROW(AF$15),0),
ROUND(ROUND(OFFSET($P122,0,AF$13),15-13*ORÇAMENTO!$AF$7)*OFFSET(ORÇAMENTO!$W$15,ROW(AF122)-ROW(AF$15),0),15-13*ORÇAMENTO!$AF$11)),0)</f>
        <v>0</v>
      </c>
      <c r="AG122" s="545">
        <f ca="1">IF(AND($D122="Serviço",AG$12&lt;&gt;0,$H122&gt;0,OR(AUTOEVENTO&lt;&gt;"manual",$M122&lt;&gt;1)),
IF(Import.TipoArredondamento&lt;&gt;"TransfereGOV",
ROUND(OFFSET($P122,0,AG$13),15-13*ORÇAMENTO!$AF$7)/$H122*OFFSET(ORÇAMENTO!$X$15,ROW(AG122)-ROW(AG$15),0),
ROUND(ROUND(OFFSET($P122,0,AG$13),15-13*ORÇAMENTO!$AF$7)*OFFSET(ORÇAMENTO!$W$15,ROW(AG122)-ROW(AG$15),0),15-13*ORÇAMENTO!$AF$11)),0)</f>
        <v>0</v>
      </c>
      <c r="AH122" s="545">
        <f ca="1">IF(AND($D122="Serviço",AH$12&lt;&gt;0,$H122&gt;0,OR(AUTOEVENTO&lt;&gt;"manual",$M122&lt;&gt;1)),
IF(Import.TipoArredondamento&lt;&gt;"TransfereGOV",
ROUND(OFFSET($P122,0,AH$13),15-13*ORÇAMENTO!$AF$7)/$H122*OFFSET(ORÇAMENTO!$X$15,ROW(AH122)-ROW(AH$15),0),
ROUND(ROUND(OFFSET($P122,0,AH$13),15-13*ORÇAMENTO!$AF$7)*OFFSET(ORÇAMENTO!$W$15,ROW(AH122)-ROW(AH$15),0),15-13*ORÇAMENTO!$AF$11)),0)</f>
        <v>0</v>
      </c>
      <c r="AI122" s="545">
        <f ca="1">IF(AND($D122="Serviço",AI$12&lt;&gt;0,$H122&gt;0,OR(AUTOEVENTO&lt;&gt;"manual",$M122&lt;&gt;1)),
IF(Import.TipoArredondamento&lt;&gt;"TransfereGOV",
ROUND(OFFSET($P122,0,AI$13),15-13*ORÇAMENTO!$AF$7)/$H122*OFFSET(ORÇAMENTO!$X$15,ROW(AI122)-ROW(AI$15),0),
ROUND(ROUND(OFFSET($P122,0,AI$13),15-13*ORÇAMENTO!$AF$7)*OFFSET(ORÇAMENTO!$W$15,ROW(AI122)-ROW(AI$15),0),15-13*ORÇAMENTO!$AF$11)),0)</f>
        <v>0</v>
      </c>
      <c r="AJ122" s="545">
        <f ca="1">IF(AND($D122="Serviço",AJ$12&lt;&gt;0,$H122&gt;0,OR(AUTOEVENTO&lt;&gt;"manual",$M122&lt;&gt;1)),
IF(Import.TipoArredondamento&lt;&gt;"TransfereGOV",
ROUND(OFFSET($P122,0,AJ$13),15-13*ORÇAMENTO!$AF$7)/$H122*OFFSET(ORÇAMENTO!$X$15,ROW(AJ122)-ROW(AJ$15),0),
ROUND(ROUND(OFFSET($P122,0,AJ$13),15-13*ORÇAMENTO!$AF$7)*OFFSET(ORÇAMENTO!$W$15,ROW(AJ122)-ROW(AJ$15),0),15-13*ORÇAMENTO!$AF$11)),0)</f>
        <v>0</v>
      </c>
      <c r="AK122" s="546">
        <f ca="1">IF(AND($D122="Serviço",AK$12&lt;&gt;0,$H122&gt;0,OR(AUTOEVENTO&lt;&gt;"manual",$M122&lt;&gt;1)),
IF(Import.TipoArredondamento&lt;&gt;"TransfereGOV",
ROUND(OFFSET($P122,0,AK$13),15-13*ORÇAMENTO!$AF$7)/$H122*OFFSET(ORÇAMENTO!$X$15,ROW(AK122)-ROW(AK$15),0),
ROUND(ROUND(OFFSET($P122,0,AK$13),15-13*ORÇAMENTO!$AF$7)*OFFSET(ORÇAMENTO!$W$15,ROW(AK122)-ROW(AK$15),0),15-13*ORÇAMENTO!$AF$11)),0)</f>
        <v>0</v>
      </c>
      <c r="AM122" s="181">
        <f ca="1">IF($D122&lt;&gt;"Serviço",0,IF(AND(AUTOEVENTO="Manual",$M122=1),0,IF(OFFSET(CRONOPLE!$F$14,$M122,AM$13)="",10^12,OFFSET(CRONOPLE!$F$14,$M122,AM$13))))</f>
        <v>0</v>
      </c>
      <c r="AN122" s="181">
        <f ca="1">IF($D122&lt;&gt;"Serviço",0,IF(AND(AUTOEVENTO="Manual",$M122=1),0,IF(OFFSET(CRONOPLE!$F$14,$M122,AN$13)="",10^12,OFFSET(CRONOPLE!$F$14,$M122,AN$13))))</f>
        <v>0</v>
      </c>
      <c r="AO122" s="181">
        <f ca="1">IF($D122&lt;&gt;"Serviço",0,IF(AND(AUTOEVENTO="Manual",$M122=1),0,IF(OFFSET(CRONOPLE!$F$14,$M122,AO$13)="",10^12,OFFSET(CRONOPLE!$F$14,$M122,AO$13))))</f>
        <v>0</v>
      </c>
      <c r="AP122" s="181">
        <f ca="1">IF($D122&lt;&gt;"Serviço",0,IF(AND(AUTOEVENTO="Manual",$M122=1),0,IF(OFFSET(CRONOPLE!$F$14,$M122,AP$13)="",10^12,OFFSET(CRONOPLE!$F$14,$M122,AP$13))))</f>
        <v>0</v>
      </c>
      <c r="AQ122" s="181">
        <f ca="1">IF($D122&lt;&gt;"Serviço",0,IF(AND(AUTOEVENTO="Manual",$M122=1),0,IF(OFFSET(CRONOPLE!$F$14,$M122,AQ$13)="",10^12,OFFSET(CRONOPLE!$F$14,$M122,AQ$13))))</f>
        <v>0</v>
      </c>
      <c r="AR122" s="181">
        <f ca="1">IF($D122&lt;&gt;"Serviço",0,IF(AND(AUTOEVENTO="Manual",$M122=1),0,IF(OFFSET(CRONOPLE!$F$14,$M122,AR$13)="",10^12,OFFSET(CRONOPLE!$F$14,$M122,AR$13))))</f>
        <v>0</v>
      </c>
      <c r="AS122" s="181">
        <f ca="1">IF($D122&lt;&gt;"Serviço",0,IF(AND(AUTOEVENTO="Manual",$M122=1),0,IF(OFFSET(CRONOPLE!$F$14,$M122,AS$13)="",10^12,OFFSET(CRONOPLE!$F$14,$M122,AS$13))))</f>
        <v>0</v>
      </c>
      <c r="AT122" s="181">
        <f ca="1">IF($D122&lt;&gt;"Serviço",0,IF(AND(AUTOEVENTO="Manual",$M122=1),0,IF(OFFSET(CRONOPLE!$F$14,$M122,AT$13)="",10^12,OFFSET(CRONOPLE!$F$14,$M122,AT$13))))</f>
        <v>0</v>
      </c>
      <c r="AU122" s="181">
        <f ca="1">IF($D122&lt;&gt;"Serviço",0,IF(AND(AUTOEVENTO="Manual",$M122=1),0,IF(OFFSET(CRONOPLE!$F$14,$M122,AU$13)="",10^12,OFFSET(CRONOPLE!$F$14,$M122,AU$13))))</f>
        <v>0</v>
      </c>
      <c r="AV122" s="181">
        <f ca="1">IF($D122&lt;&gt;"Serviço",0,IF(AND(AUTOEVENTO="Manual",$M122=1),0,IF(OFFSET(CRONOPLE!$F$14,$M122,AV$13)="",10^12,OFFSET(CRONOPLE!$F$14,$M122,AV$13))))</f>
        <v>0</v>
      </c>
      <c r="AX122" s="182">
        <f ca="1">IF($D122&lt;&gt;"Serviço",0,IF(OR(AND(AUTOEVENTO="Manual",$M122=1),$M122&gt;(ROW(PLE.lastrow)-ROW(PLE.firstrow))),0,IF(OFFSET(PLE!$G$14,$M122,AX$13)="",10^12,OFFSET(PLE!$G$14,$M122,AX$13))))</f>
        <v>0</v>
      </c>
      <c r="AY122" s="182">
        <f ca="1">IF($D122&lt;&gt;"Serviço",0,IF(OR(AND(AUTOEVENTO="Manual",$M122=1),$M122&gt;(ROW(PLE.lastrow)-ROW(PLE.firstrow))),0,IF(OFFSET(PLE!$G$14,$M122,AY$13)="",10^12,OFFSET(PLE!$G$14,$M122,AY$13))))</f>
        <v>0</v>
      </c>
      <c r="AZ122" s="182">
        <f ca="1">IF($D122&lt;&gt;"Serviço",0,IF(OR(AND(AUTOEVENTO="Manual",$M122=1),$M122&gt;(ROW(PLE.lastrow)-ROW(PLE.firstrow))),0,IF(OFFSET(PLE!$G$14,$M122,AZ$13)="",10^12,OFFSET(PLE!$G$14,$M122,AZ$13))))</f>
        <v>0</v>
      </c>
      <c r="BA122" s="182">
        <f ca="1">IF($D122&lt;&gt;"Serviço",0,IF(OR(AND(AUTOEVENTO="Manual",$M122=1),$M122&gt;(ROW(PLE.lastrow)-ROW(PLE.firstrow))),0,IF(OFFSET(PLE!$G$14,$M122,BA$13)="",10^12,OFFSET(PLE!$G$14,$M122,BA$13))))</f>
        <v>0</v>
      </c>
      <c r="BB122" s="182">
        <f ca="1">IF($D122&lt;&gt;"Serviço",0,IF(OR(AND(AUTOEVENTO="Manual",$M122=1),$M122&gt;(ROW(PLE.lastrow)-ROW(PLE.firstrow))),0,IF(OFFSET(PLE!$G$14,$M122,BB$13)="",10^12,OFFSET(PLE!$G$14,$M122,BB$13))))</f>
        <v>0</v>
      </c>
      <c r="BC122" s="182">
        <f ca="1">IF($D122&lt;&gt;"Serviço",0,IF(OR(AND(AUTOEVENTO="Manual",$M122=1),$M122&gt;(ROW(PLE.lastrow)-ROW(PLE.firstrow))),0,IF(OFFSET(PLE!$G$14,$M122,BC$13)="",10^12,OFFSET(PLE!$G$14,$M122,BC$13))))</f>
        <v>0</v>
      </c>
      <c r="BD122" s="182">
        <f ca="1">IF($D122&lt;&gt;"Serviço",0,IF(OR(AND(AUTOEVENTO="Manual",$M122=1),$M122&gt;(ROW(PLE.lastrow)-ROW(PLE.firstrow))),0,IF(OFFSET(PLE!$G$14,$M122,BD$13)="",10^12,OFFSET(PLE!$G$14,$M122,BD$13))))</f>
        <v>0</v>
      </c>
      <c r="BE122" s="182">
        <f ca="1">IF($D122&lt;&gt;"Serviço",0,IF(OR(AND(AUTOEVENTO="Manual",$M122=1),$M122&gt;(ROW(PLE.lastrow)-ROW(PLE.firstrow))),0,IF(OFFSET(PLE!$G$14,$M122,BE$13)="",10^12,OFFSET(PLE!$G$14,$M122,BE$13))))</f>
        <v>0</v>
      </c>
      <c r="BF122" s="182">
        <f ca="1">IF($D122&lt;&gt;"Serviço",0,IF(OR(AND(AUTOEVENTO="Manual",$M122=1),$M122&gt;(ROW(PLE.lastrow)-ROW(PLE.firstrow))),0,IF(OFFSET(PLE!$G$14,$M122,BF$13)="",10^12,OFFSET(PLE!$G$14,$M122,BF$13))))</f>
        <v>0</v>
      </c>
      <c r="BG122" s="182">
        <f ca="1">IF($D122&lt;&gt;"Serviço",0,IF(OR(AND(AUTOEVENTO="Manual",$M122=1),$M122&gt;(ROW(PLE.lastrow)-ROW(PLE.firstrow))),0,IF(OFFSET(PLE!$G$14,$M122,BG$13)="",10^12,OFFSET(PLE!$G$14,$M122,BG$13))))</f>
        <v>0</v>
      </c>
    </row>
    <row r="123" spans="1:59" ht="12.75" x14ac:dyDescent="0.2">
      <c r="A123" s="7" t="str">
        <f t="shared" ca="1" si="12"/>
        <v>108.</v>
      </c>
      <c r="B123" s="7">
        <f ca="1">OFFSET(ORÇAMENTO!C$15,ROW(B123)-ROW(B$15),0)</f>
        <v>2</v>
      </c>
      <c r="C123" s="7" t="str">
        <f ca="1">OFFSET(ORÇAMENTO!L$15,ROW(C123)-ROW(C$15),0)</f>
        <v>F</v>
      </c>
      <c r="D123" s="118" t="str">
        <f ca="1">OFFSET(ORÇAMENTO!N$15,ROW(D123)-ROW(D$15),0)</f>
        <v>Nível 2</v>
      </c>
      <c r="E123" s="119" t="str">
        <f ca="1">OFFSET(ORÇAMENTO!O$15,ROW(E123)-ROW(E$15),0)</f>
        <v>8.1.</v>
      </c>
      <c r="F123" s="172" t="str">
        <f ca="1">OFFSET(ORÇAMENTO!R$15,ROW(F123)-ROW(F$15),0)</f>
        <v xml:space="preserve">PINTURA </v>
      </c>
      <c r="G123" s="173" t="str">
        <f ca="1">IF($D123&lt;&gt;"Serviço","",OFFSET(ORÇAMENTO!S$15,ROW(G123)-ROW(G$15),0))</f>
        <v/>
      </c>
      <c r="H123" s="124">
        <f ca="1">IF($D123&lt;&gt;"Serviço",0,IF(ACOMPANHAMENTO="BM",ROUND(OFFSET(ORÇAMENTO!AJ$15,ROW(H123)-ROW(H$15),0),15-13*ORÇAMENTO!$AF$7),SUMPRODUCT(($Q$12:$AA$12&lt;&gt;"")*ROUND($Q123:$AA123,15-13*ORÇAMENTO!$AF$7))))</f>
        <v>0</v>
      </c>
      <c r="I123" s="561"/>
      <c r="K123" s="174"/>
      <c r="L123" s="175" t="s">
        <v>255</v>
      </c>
      <c r="M123" s="176" t="str">
        <f ca="1">IF($D123&lt;&gt;"Serviço","",IF(AUTOEVENTO="manual",$A123,IF(ISERROR(MATCH($A123,$A$15:OFFSET($A123,-1,0),0)),MAX($M$15:OFFSET(M123,-1,0))+1,INDEX($M$15:OFFSET(M123,-1,0),MATCH($A123,$A$15:OFFSET($A123,-1,0),0)))))</f>
        <v/>
      </c>
      <c r="N123" s="177" t="str">
        <f ca="1">IF($D123&lt;&gt;"Serviço","",IF(AUTOEVENTO="Manual",IF($A123=0,"&lt;-- defina o número do agrupador",OFFSET(EVENTOS!$D$14,$A123,0)),OFFSET($F$15,$A123,0)))</f>
        <v/>
      </c>
      <c r="O123" s="178"/>
      <c r="Q123" s="178"/>
      <c r="R123" s="179"/>
      <c r="S123" s="179"/>
      <c r="T123" s="179"/>
      <c r="U123" s="179"/>
      <c r="V123" s="179"/>
      <c r="W123" s="179"/>
      <c r="X123" s="179"/>
      <c r="Y123" s="179"/>
      <c r="Z123" s="180"/>
      <c r="AB123" s="544">
        <f ca="1">IF(AND($D123="Serviço",AB$12&lt;&gt;0,$H123&gt;0,OR(AUTOEVENTO&lt;&gt;"manual",$M123&lt;&gt;1)),
IF(Import.TipoArredondamento&lt;&gt;"TransfereGOV",
ROUND(OFFSET($P123,0,AB$13),15-13*ORÇAMENTO!$AF$7)/$H123*OFFSET(ORÇAMENTO!$X$15,ROW(AB123)-ROW(AB$15),0),
ROUND(ROUND(OFFSET($P123,0,AB$13),15-13*ORÇAMENTO!$AF$7)*OFFSET(ORÇAMENTO!$W$15,ROW(AB123)-ROW(AB$15),0),15-13*ORÇAMENTO!$AF$11)),0)</f>
        <v>0</v>
      </c>
      <c r="AC123" s="545">
        <f ca="1">IF(AND($D123="Serviço",AC$12&lt;&gt;0,$H123&gt;0,OR(AUTOEVENTO&lt;&gt;"manual",$M123&lt;&gt;1)),
IF(Import.TipoArredondamento&lt;&gt;"TransfereGOV",
ROUND(OFFSET($P123,0,AC$13),15-13*ORÇAMENTO!$AF$7)/$H123*OFFSET(ORÇAMENTO!$X$15,ROW(AC123)-ROW(AC$15),0),
ROUND(ROUND(OFFSET($P123,0,AC$13),15-13*ORÇAMENTO!$AF$7)*OFFSET(ORÇAMENTO!$W$15,ROW(AC123)-ROW(AC$15),0),15-13*ORÇAMENTO!$AF$11)),0)</f>
        <v>0</v>
      </c>
      <c r="AD123" s="545">
        <f ca="1">IF(AND($D123="Serviço",AD$12&lt;&gt;0,$H123&gt;0,OR(AUTOEVENTO&lt;&gt;"manual",$M123&lt;&gt;1)),
IF(Import.TipoArredondamento&lt;&gt;"TransfereGOV",
ROUND(OFFSET($P123,0,AD$13),15-13*ORÇAMENTO!$AF$7)/$H123*OFFSET(ORÇAMENTO!$X$15,ROW(AD123)-ROW(AD$15),0),
ROUND(ROUND(OFFSET($P123,0,AD$13),15-13*ORÇAMENTO!$AF$7)*OFFSET(ORÇAMENTO!$W$15,ROW(AD123)-ROW(AD$15),0),15-13*ORÇAMENTO!$AF$11)),0)</f>
        <v>0</v>
      </c>
      <c r="AE123" s="545">
        <f ca="1">IF(AND($D123="Serviço",AE$12&lt;&gt;0,$H123&gt;0,OR(AUTOEVENTO&lt;&gt;"manual",$M123&lt;&gt;1)),
IF(Import.TipoArredondamento&lt;&gt;"TransfereGOV",
ROUND(OFFSET($P123,0,AE$13),15-13*ORÇAMENTO!$AF$7)/$H123*OFFSET(ORÇAMENTO!$X$15,ROW(AE123)-ROW(AE$15),0),
ROUND(ROUND(OFFSET($P123,0,AE$13),15-13*ORÇAMENTO!$AF$7)*OFFSET(ORÇAMENTO!$W$15,ROW(AE123)-ROW(AE$15),0),15-13*ORÇAMENTO!$AF$11)),0)</f>
        <v>0</v>
      </c>
      <c r="AF123" s="545">
        <f ca="1">IF(AND($D123="Serviço",AF$12&lt;&gt;0,$H123&gt;0,OR(AUTOEVENTO&lt;&gt;"manual",$M123&lt;&gt;1)),
IF(Import.TipoArredondamento&lt;&gt;"TransfereGOV",
ROUND(OFFSET($P123,0,AF$13),15-13*ORÇAMENTO!$AF$7)/$H123*OFFSET(ORÇAMENTO!$X$15,ROW(AF123)-ROW(AF$15),0),
ROUND(ROUND(OFFSET($P123,0,AF$13),15-13*ORÇAMENTO!$AF$7)*OFFSET(ORÇAMENTO!$W$15,ROW(AF123)-ROW(AF$15),0),15-13*ORÇAMENTO!$AF$11)),0)</f>
        <v>0</v>
      </c>
      <c r="AG123" s="545">
        <f ca="1">IF(AND($D123="Serviço",AG$12&lt;&gt;0,$H123&gt;0,OR(AUTOEVENTO&lt;&gt;"manual",$M123&lt;&gt;1)),
IF(Import.TipoArredondamento&lt;&gt;"TransfereGOV",
ROUND(OFFSET($P123,0,AG$13),15-13*ORÇAMENTO!$AF$7)/$H123*OFFSET(ORÇAMENTO!$X$15,ROW(AG123)-ROW(AG$15),0),
ROUND(ROUND(OFFSET($P123,0,AG$13),15-13*ORÇAMENTO!$AF$7)*OFFSET(ORÇAMENTO!$W$15,ROW(AG123)-ROW(AG$15),0),15-13*ORÇAMENTO!$AF$11)),0)</f>
        <v>0</v>
      </c>
      <c r="AH123" s="545">
        <f ca="1">IF(AND($D123="Serviço",AH$12&lt;&gt;0,$H123&gt;0,OR(AUTOEVENTO&lt;&gt;"manual",$M123&lt;&gt;1)),
IF(Import.TipoArredondamento&lt;&gt;"TransfereGOV",
ROUND(OFFSET($P123,0,AH$13),15-13*ORÇAMENTO!$AF$7)/$H123*OFFSET(ORÇAMENTO!$X$15,ROW(AH123)-ROW(AH$15),0),
ROUND(ROUND(OFFSET($P123,0,AH$13),15-13*ORÇAMENTO!$AF$7)*OFFSET(ORÇAMENTO!$W$15,ROW(AH123)-ROW(AH$15),0),15-13*ORÇAMENTO!$AF$11)),0)</f>
        <v>0</v>
      </c>
      <c r="AI123" s="545">
        <f ca="1">IF(AND($D123="Serviço",AI$12&lt;&gt;0,$H123&gt;0,OR(AUTOEVENTO&lt;&gt;"manual",$M123&lt;&gt;1)),
IF(Import.TipoArredondamento&lt;&gt;"TransfereGOV",
ROUND(OFFSET($P123,0,AI$13),15-13*ORÇAMENTO!$AF$7)/$H123*OFFSET(ORÇAMENTO!$X$15,ROW(AI123)-ROW(AI$15),0),
ROUND(ROUND(OFFSET($P123,0,AI$13),15-13*ORÇAMENTO!$AF$7)*OFFSET(ORÇAMENTO!$W$15,ROW(AI123)-ROW(AI$15),0),15-13*ORÇAMENTO!$AF$11)),0)</f>
        <v>0</v>
      </c>
      <c r="AJ123" s="545">
        <f ca="1">IF(AND($D123="Serviço",AJ$12&lt;&gt;0,$H123&gt;0,OR(AUTOEVENTO&lt;&gt;"manual",$M123&lt;&gt;1)),
IF(Import.TipoArredondamento&lt;&gt;"TransfereGOV",
ROUND(OFFSET($P123,0,AJ$13),15-13*ORÇAMENTO!$AF$7)/$H123*OFFSET(ORÇAMENTO!$X$15,ROW(AJ123)-ROW(AJ$15),0),
ROUND(ROUND(OFFSET($P123,0,AJ$13),15-13*ORÇAMENTO!$AF$7)*OFFSET(ORÇAMENTO!$W$15,ROW(AJ123)-ROW(AJ$15),0),15-13*ORÇAMENTO!$AF$11)),0)</f>
        <v>0</v>
      </c>
      <c r="AK123" s="546">
        <f ca="1">IF(AND($D123="Serviço",AK$12&lt;&gt;0,$H123&gt;0,OR(AUTOEVENTO&lt;&gt;"manual",$M123&lt;&gt;1)),
IF(Import.TipoArredondamento&lt;&gt;"TransfereGOV",
ROUND(OFFSET($P123,0,AK$13),15-13*ORÇAMENTO!$AF$7)/$H123*OFFSET(ORÇAMENTO!$X$15,ROW(AK123)-ROW(AK$15),0),
ROUND(ROUND(OFFSET($P123,0,AK$13),15-13*ORÇAMENTO!$AF$7)*OFFSET(ORÇAMENTO!$W$15,ROW(AK123)-ROW(AK$15),0),15-13*ORÇAMENTO!$AF$11)),0)</f>
        <v>0</v>
      </c>
      <c r="AM123" s="181">
        <f ca="1">IF($D123&lt;&gt;"Serviço",0,IF(AND(AUTOEVENTO="Manual",$M123=1),0,IF(OFFSET(CRONOPLE!$F$14,$M123,AM$13)="",10^12,OFFSET(CRONOPLE!$F$14,$M123,AM$13))))</f>
        <v>0</v>
      </c>
      <c r="AN123" s="181">
        <f ca="1">IF($D123&lt;&gt;"Serviço",0,IF(AND(AUTOEVENTO="Manual",$M123=1),0,IF(OFFSET(CRONOPLE!$F$14,$M123,AN$13)="",10^12,OFFSET(CRONOPLE!$F$14,$M123,AN$13))))</f>
        <v>0</v>
      </c>
      <c r="AO123" s="181">
        <f ca="1">IF($D123&lt;&gt;"Serviço",0,IF(AND(AUTOEVENTO="Manual",$M123=1),0,IF(OFFSET(CRONOPLE!$F$14,$M123,AO$13)="",10^12,OFFSET(CRONOPLE!$F$14,$M123,AO$13))))</f>
        <v>0</v>
      </c>
      <c r="AP123" s="181">
        <f ca="1">IF($D123&lt;&gt;"Serviço",0,IF(AND(AUTOEVENTO="Manual",$M123=1),0,IF(OFFSET(CRONOPLE!$F$14,$M123,AP$13)="",10^12,OFFSET(CRONOPLE!$F$14,$M123,AP$13))))</f>
        <v>0</v>
      </c>
      <c r="AQ123" s="181">
        <f ca="1">IF($D123&lt;&gt;"Serviço",0,IF(AND(AUTOEVENTO="Manual",$M123=1),0,IF(OFFSET(CRONOPLE!$F$14,$M123,AQ$13)="",10^12,OFFSET(CRONOPLE!$F$14,$M123,AQ$13))))</f>
        <v>0</v>
      </c>
      <c r="AR123" s="181">
        <f ca="1">IF($D123&lt;&gt;"Serviço",0,IF(AND(AUTOEVENTO="Manual",$M123=1),0,IF(OFFSET(CRONOPLE!$F$14,$M123,AR$13)="",10^12,OFFSET(CRONOPLE!$F$14,$M123,AR$13))))</f>
        <v>0</v>
      </c>
      <c r="AS123" s="181">
        <f ca="1">IF($D123&lt;&gt;"Serviço",0,IF(AND(AUTOEVENTO="Manual",$M123=1),0,IF(OFFSET(CRONOPLE!$F$14,$M123,AS$13)="",10^12,OFFSET(CRONOPLE!$F$14,$M123,AS$13))))</f>
        <v>0</v>
      </c>
      <c r="AT123" s="181">
        <f ca="1">IF($D123&lt;&gt;"Serviço",0,IF(AND(AUTOEVENTO="Manual",$M123=1),0,IF(OFFSET(CRONOPLE!$F$14,$M123,AT$13)="",10^12,OFFSET(CRONOPLE!$F$14,$M123,AT$13))))</f>
        <v>0</v>
      </c>
      <c r="AU123" s="181">
        <f ca="1">IF($D123&lt;&gt;"Serviço",0,IF(AND(AUTOEVENTO="Manual",$M123=1),0,IF(OFFSET(CRONOPLE!$F$14,$M123,AU$13)="",10^12,OFFSET(CRONOPLE!$F$14,$M123,AU$13))))</f>
        <v>0</v>
      </c>
      <c r="AV123" s="181">
        <f ca="1">IF($D123&lt;&gt;"Serviço",0,IF(AND(AUTOEVENTO="Manual",$M123=1),0,IF(OFFSET(CRONOPLE!$F$14,$M123,AV$13)="",10^12,OFFSET(CRONOPLE!$F$14,$M123,AV$13))))</f>
        <v>0</v>
      </c>
      <c r="AX123" s="182">
        <f ca="1">IF($D123&lt;&gt;"Serviço",0,IF(OR(AND(AUTOEVENTO="Manual",$M123=1),$M123&gt;(ROW(PLE.lastrow)-ROW(PLE.firstrow))),0,IF(OFFSET(PLE!$G$14,$M123,AX$13)="",10^12,OFFSET(PLE!$G$14,$M123,AX$13))))</f>
        <v>0</v>
      </c>
      <c r="AY123" s="182">
        <f ca="1">IF($D123&lt;&gt;"Serviço",0,IF(OR(AND(AUTOEVENTO="Manual",$M123=1),$M123&gt;(ROW(PLE.lastrow)-ROW(PLE.firstrow))),0,IF(OFFSET(PLE!$G$14,$M123,AY$13)="",10^12,OFFSET(PLE!$G$14,$M123,AY$13))))</f>
        <v>0</v>
      </c>
      <c r="AZ123" s="182">
        <f ca="1">IF($D123&lt;&gt;"Serviço",0,IF(OR(AND(AUTOEVENTO="Manual",$M123=1),$M123&gt;(ROW(PLE.lastrow)-ROW(PLE.firstrow))),0,IF(OFFSET(PLE!$G$14,$M123,AZ$13)="",10^12,OFFSET(PLE!$G$14,$M123,AZ$13))))</f>
        <v>0</v>
      </c>
      <c r="BA123" s="182">
        <f ca="1">IF($D123&lt;&gt;"Serviço",0,IF(OR(AND(AUTOEVENTO="Manual",$M123=1),$M123&gt;(ROW(PLE.lastrow)-ROW(PLE.firstrow))),0,IF(OFFSET(PLE!$G$14,$M123,BA$13)="",10^12,OFFSET(PLE!$G$14,$M123,BA$13))))</f>
        <v>0</v>
      </c>
      <c r="BB123" s="182">
        <f ca="1">IF($D123&lt;&gt;"Serviço",0,IF(OR(AND(AUTOEVENTO="Manual",$M123=1),$M123&gt;(ROW(PLE.lastrow)-ROW(PLE.firstrow))),0,IF(OFFSET(PLE!$G$14,$M123,BB$13)="",10^12,OFFSET(PLE!$G$14,$M123,BB$13))))</f>
        <v>0</v>
      </c>
      <c r="BC123" s="182">
        <f ca="1">IF($D123&lt;&gt;"Serviço",0,IF(OR(AND(AUTOEVENTO="Manual",$M123=1),$M123&gt;(ROW(PLE.lastrow)-ROW(PLE.firstrow))),0,IF(OFFSET(PLE!$G$14,$M123,BC$13)="",10^12,OFFSET(PLE!$G$14,$M123,BC$13))))</f>
        <v>0</v>
      </c>
      <c r="BD123" s="182">
        <f ca="1">IF($D123&lt;&gt;"Serviço",0,IF(OR(AND(AUTOEVENTO="Manual",$M123=1),$M123&gt;(ROW(PLE.lastrow)-ROW(PLE.firstrow))),0,IF(OFFSET(PLE!$G$14,$M123,BD$13)="",10^12,OFFSET(PLE!$G$14,$M123,BD$13))))</f>
        <v>0</v>
      </c>
      <c r="BE123" s="182">
        <f ca="1">IF($D123&lt;&gt;"Serviço",0,IF(OR(AND(AUTOEVENTO="Manual",$M123=1),$M123&gt;(ROW(PLE.lastrow)-ROW(PLE.firstrow))),0,IF(OFFSET(PLE!$G$14,$M123,BE$13)="",10^12,OFFSET(PLE!$G$14,$M123,BE$13))))</f>
        <v>0</v>
      </c>
      <c r="BF123" s="182">
        <f ca="1">IF($D123&lt;&gt;"Serviço",0,IF(OR(AND(AUTOEVENTO="Manual",$M123=1),$M123&gt;(ROW(PLE.lastrow)-ROW(PLE.firstrow))),0,IF(OFFSET(PLE!$G$14,$M123,BF$13)="",10^12,OFFSET(PLE!$G$14,$M123,BF$13))))</f>
        <v>0</v>
      </c>
      <c r="BG123" s="182">
        <f ca="1">IF($D123&lt;&gt;"Serviço",0,IF(OR(AND(AUTOEVENTO="Manual",$M123=1),$M123&gt;(ROW(PLE.lastrow)-ROW(PLE.firstrow))),0,IF(OFFSET(PLE!$G$14,$M123,BG$13)="",10^12,OFFSET(PLE!$G$14,$M123,BG$13))))</f>
        <v>0</v>
      </c>
    </row>
    <row r="124" spans="1:59" ht="25.5" x14ac:dyDescent="0.2">
      <c r="A124" s="7" t="str">
        <f t="shared" ca="1" si="12"/>
        <v>108</v>
      </c>
      <c r="B124" s="7" t="str">
        <f ca="1">OFFSET(ORÇAMENTO!C$15,ROW(B124)-ROW(B$15),0)</f>
        <v>S</v>
      </c>
      <c r="C124" s="7" t="str">
        <f ca="1">OFFSET(ORÇAMENTO!L$15,ROW(C124)-ROW(C$15),0)</f>
        <v>F</v>
      </c>
      <c r="D124" s="118" t="str">
        <f ca="1">OFFSET(ORÇAMENTO!N$15,ROW(D124)-ROW(D$15),0)</f>
        <v>Serviço</v>
      </c>
      <c r="E124" s="119" t="str">
        <f ca="1">OFFSET(ORÇAMENTO!O$15,ROW(E124)-ROW(E$15),0)</f>
        <v>8.1.1.</v>
      </c>
      <c r="F124" s="172" t="str">
        <f ca="1">OFFSET(ORÇAMENTO!R$15,ROW(F124)-ROW(F$15),0)</f>
        <v>FUNDO SELADOR ACRÍLICO, APLICAÇÃO MANUAL EM PAREDE, UMA DEMÃO. AF_04/2023</v>
      </c>
      <c r="G124" s="173" t="str">
        <f ca="1">IF($D124&lt;&gt;"Serviço","",OFFSET(ORÇAMENTO!S$15,ROW(G124)-ROW(G$15),0))</f>
        <v>M2</v>
      </c>
      <c r="H124" s="124">
        <f ca="1">IF($D124&lt;&gt;"Serviço",0,IF(ACOMPANHAMENTO="BM",ROUND(OFFSET(ORÇAMENTO!AJ$15,ROW(H124)-ROW(H$15),0),15-13*ORÇAMENTO!$AF$7),SUMPRODUCT(($Q$12:$AA$12&lt;&gt;"")*ROUND($Q124:$AA124,15-13*ORÇAMENTO!$AF$7))))</f>
        <v>160.44</v>
      </c>
      <c r="I124" s="561"/>
      <c r="K124" s="174"/>
      <c r="L124" s="175" t="s">
        <v>255</v>
      </c>
      <c r="M124" s="176">
        <f ca="1">IF($D124&lt;&gt;"Serviço","",IF(AUTOEVENTO="manual",$A124,IF(ISERROR(MATCH($A124,$A$15:OFFSET($A124,-1,0),0)),MAX($M$15:OFFSET(M124,-1,0))+1,INDEX($M$15:OFFSET(M124,-1,0),MATCH($A124,$A$15:OFFSET($A124,-1,0),0)))))</f>
        <v>18</v>
      </c>
      <c r="N124" s="177" t="str">
        <f ca="1">IF($D124&lt;&gt;"Serviço","",IF(AUTOEVENTO="Manual",IF($A124=0,"&lt;-- defina o número do agrupador",OFFSET(EVENTOS!$D$14,$A124,0)),OFFSET($F$15,$A124,0)))</f>
        <v xml:space="preserve">PINTURA </v>
      </c>
      <c r="O124" s="178"/>
      <c r="Q124" s="178"/>
      <c r="R124" s="179"/>
      <c r="S124" s="179"/>
      <c r="T124" s="179"/>
      <c r="U124" s="179"/>
      <c r="V124" s="179"/>
      <c r="W124" s="179"/>
      <c r="X124" s="179"/>
      <c r="Y124" s="179"/>
      <c r="Z124" s="180"/>
      <c r="AB124" s="544">
        <f ca="1">IF(AND($D124="Serviço",AB$12&lt;&gt;0,$H124&gt;0,OR(AUTOEVENTO&lt;&gt;"manual",$M124&lt;&gt;1)),
IF(Import.TipoArredondamento&lt;&gt;"TransfereGOV",
ROUND(OFFSET($P124,0,AB$13),15-13*ORÇAMENTO!$AF$7)/$H124*OFFSET(ORÇAMENTO!$X$15,ROW(AB124)-ROW(AB$15),0),
ROUND(ROUND(OFFSET($P124,0,AB$13),15-13*ORÇAMENTO!$AF$7)*OFFSET(ORÇAMENTO!$W$15,ROW(AB124)-ROW(AB$15),0),15-13*ORÇAMENTO!$AF$11)),0)</f>
        <v>0</v>
      </c>
      <c r="AC124" s="545">
        <f ca="1">IF(AND($D124="Serviço",AC$12&lt;&gt;0,$H124&gt;0,OR(AUTOEVENTO&lt;&gt;"manual",$M124&lt;&gt;1)),
IF(Import.TipoArredondamento&lt;&gt;"TransfereGOV",
ROUND(OFFSET($P124,0,AC$13),15-13*ORÇAMENTO!$AF$7)/$H124*OFFSET(ORÇAMENTO!$X$15,ROW(AC124)-ROW(AC$15),0),
ROUND(ROUND(OFFSET($P124,0,AC$13),15-13*ORÇAMENTO!$AF$7)*OFFSET(ORÇAMENTO!$W$15,ROW(AC124)-ROW(AC$15),0),15-13*ORÇAMENTO!$AF$11)),0)</f>
        <v>0</v>
      </c>
      <c r="AD124" s="545">
        <f ca="1">IF(AND($D124="Serviço",AD$12&lt;&gt;0,$H124&gt;0,OR(AUTOEVENTO&lt;&gt;"manual",$M124&lt;&gt;1)),
IF(Import.TipoArredondamento&lt;&gt;"TransfereGOV",
ROUND(OFFSET($P124,0,AD$13),15-13*ORÇAMENTO!$AF$7)/$H124*OFFSET(ORÇAMENTO!$X$15,ROW(AD124)-ROW(AD$15),0),
ROUND(ROUND(OFFSET($P124,0,AD$13),15-13*ORÇAMENTO!$AF$7)*OFFSET(ORÇAMENTO!$W$15,ROW(AD124)-ROW(AD$15),0),15-13*ORÇAMENTO!$AF$11)),0)</f>
        <v>0</v>
      </c>
      <c r="AE124" s="545">
        <f ca="1">IF(AND($D124="Serviço",AE$12&lt;&gt;0,$H124&gt;0,OR(AUTOEVENTO&lt;&gt;"manual",$M124&lt;&gt;1)),
IF(Import.TipoArredondamento&lt;&gt;"TransfereGOV",
ROUND(OFFSET($P124,0,AE$13),15-13*ORÇAMENTO!$AF$7)/$H124*OFFSET(ORÇAMENTO!$X$15,ROW(AE124)-ROW(AE$15),0),
ROUND(ROUND(OFFSET($P124,0,AE$13),15-13*ORÇAMENTO!$AF$7)*OFFSET(ORÇAMENTO!$W$15,ROW(AE124)-ROW(AE$15),0),15-13*ORÇAMENTO!$AF$11)),0)</f>
        <v>0</v>
      </c>
      <c r="AF124" s="545">
        <f ca="1">IF(AND($D124="Serviço",AF$12&lt;&gt;0,$H124&gt;0,OR(AUTOEVENTO&lt;&gt;"manual",$M124&lt;&gt;1)),
IF(Import.TipoArredondamento&lt;&gt;"TransfereGOV",
ROUND(OFFSET($P124,0,AF$13),15-13*ORÇAMENTO!$AF$7)/$H124*OFFSET(ORÇAMENTO!$X$15,ROW(AF124)-ROW(AF$15),0),
ROUND(ROUND(OFFSET($P124,0,AF$13),15-13*ORÇAMENTO!$AF$7)*OFFSET(ORÇAMENTO!$W$15,ROW(AF124)-ROW(AF$15),0),15-13*ORÇAMENTO!$AF$11)),0)</f>
        <v>0</v>
      </c>
      <c r="AG124" s="545">
        <f ca="1">IF(AND($D124="Serviço",AG$12&lt;&gt;0,$H124&gt;0,OR(AUTOEVENTO&lt;&gt;"manual",$M124&lt;&gt;1)),
IF(Import.TipoArredondamento&lt;&gt;"TransfereGOV",
ROUND(OFFSET($P124,0,AG$13),15-13*ORÇAMENTO!$AF$7)/$H124*OFFSET(ORÇAMENTO!$X$15,ROW(AG124)-ROW(AG$15),0),
ROUND(ROUND(OFFSET($P124,0,AG$13),15-13*ORÇAMENTO!$AF$7)*OFFSET(ORÇAMENTO!$W$15,ROW(AG124)-ROW(AG$15),0),15-13*ORÇAMENTO!$AF$11)),0)</f>
        <v>0</v>
      </c>
      <c r="AH124" s="545">
        <f ca="1">IF(AND($D124="Serviço",AH$12&lt;&gt;0,$H124&gt;0,OR(AUTOEVENTO&lt;&gt;"manual",$M124&lt;&gt;1)),
IF(Import.TipoArredondamento&lt;&gt;"TransfereGOV",
ROUND(OFFSET($P124,0,AH$13),15-13*ORÇAMENTO!$AF$7)/$H124*OFFSET(ORÇAMENTO!$X$15,ROW(AH124)-ROW(AH$15),0),
ROUND(ROUND(OFFSET($P124,0,AH$13),15-13*ORÇAMENTO!$AF$7)*OFFSET(ORÇAMENTO!$W$15,ROW(AH124)-ROW(AH$15),0),15-13*ORÇAMENTO!$AF$11)),0)</f>
        <v>0</v>
      </c>
      <c r="AI124" s="545">
        <f ca="1">IF(AND($D124="Serviço",AI$12&lt;&gt;0,$H124&gt;0,OR(AUTOEVENTO&lt;&gt;"manual",$M124&lt;&gt;1)),
IF(Import.TipoArredondamento&lt;&gt;"TransfereGOV",
ROUND(OFFSET($P124,0,AI$13),15-13*ORÇAMENTO!$AF$7)/$H124*OFFSET(ORÇAMENTO!$X$15,ROW(AI124)-ROW(AI$15),0),
ROUND(ROUND(OFFSET($P124,0,AI$13),15-13*ORÇAMENTO!$AF$7)*OFFSET(ORÇAMENTO!$W$15,ROW(AI124)-ROW(AI$15),0),15-13*ORÇAMENTO!$AF$11)),0)</f>
        <v>0</v>
      </c>
      <c r="AJ124" s="545">
        <f ca="1">IF(AND($D124="Serviço",AJ$12&lt;&gt;0,$H124&gt;0,OR(AUTOEVENTO&lt;&gt;"manual",$M124&lt;&gt;1)),
IF(Import.TipoArredondamento&lt;&gt;"TransfereGOV",
ROUND(OFFSET($P124,0,AJ$13),15-13*ORÇAMENTO!$AF$7)/$H124*OFFSET(ORÇAMENTO!$X$15,ROW(AJ124)-ROW(AJ$15),0),
ROUND(ROUND(OFFSET($P124,0,AJ$13),15-13*ORÇAMENTO!$AF$7)*OFFSET(ORÇAMENTO!$W$15,ROW(AJ124)-ROW(AJ$15),0),15-13*ORÇAMENTO!$AF$11)),0)</f>
        <v>0</v>
      </c>
      <c r="AK124" s="546">
        <f ca="1">IF(AND($D124="Serviço",AK$12&lt;&gt;0,$H124&gt;0,OR(AUTOEVENTO&lt;&gt;"manual",$M124&lt;&gt;1)),
IF(Import.TipoArredondamento&lt;&gt;"TransfereGOV",
ROUND(OFFSET($P124,0,AK$13),15-13*ORÇAMENTO!$AF$7)/$H124*OFFSET(ORÇAMENTO!$X$15,ROW(AK124)-ROW(AK$15),0),
ROUND(ROUND(OFFSET($P124,0,AK$13),15-13*ORÇAMENTO!$AF$7)*OFFSET(ORÇAMENTO!$W$15,ROW(AK124)-ROW(AK$15),0),15-13*ORÇAMENTO!$AF$11)),0)</f>
        <v>0</v>
      </c>
      <c r="AM124" s="181">
        <f ca="1">IF($D124&lt;&gt;"Serviço",0,IF(AND(AUTOEVENTO="Manual",$M124=1),0,IF(OFFSET(CRONOPLE!$F$14,$M124,AM$13)="",10^12,OFFSET(CRONOPLE!$F$14,$M124,AM$13))))</f>
        <v>1000000000000</v>
      </c>
      <c r="AN124" s="181">
        <f ca="1">IF($D124&lt;&gt;"Serviço",0,IF(AND(AUTOEVENTO="Manual",$M124=1),0,IF(OFFSET(CRONOPLE!$F$14,$M124,AN$13)="",10^12,OFFSET(CRONOPLE!$F$14,$M124,AN$13))))</f>
        <v>1000000000000</v>
      </c>
      <c r="AO124" s="181">
        <f ca="1">IF($D124&lt;&gt;"Serviço",0,IF(AND(AUTOEVENTO="Manual",$M124=1),0,IF(OFFSET(CRONOPLE!$F$14,$M124,AO$13)="",10^12,OFFSET(CRONOPLE!$F$14,$M124,AO$13))))</f>
        <v>1000000000000</v>
      </c>
      <c r="AP124" s="181">
        <f ca="1">IF($D124&lt;&gt;"Serviço",0,IF(AND(AUTOEVENTO="Manual",$M124=1),0,IF(OFFSET(CRONOPLE!$F$14,$M124,AP$13)="",10^12,OFFSET(CRONOPLE!$F$14,$M124,AP$13))))</f>
        <v>1000000000000</v>
      </c>
      <c r="AQ124" s="181">
        <f ca="1">IF($D124&lt;&gt;"Serviço",0,IF(AND(AUTOEVENTO="Manual",$M124=1),0,IF(OFFSET(CRONOPLE!$F$14,$M124,AQ$13)="",10^12,OFFSET(CRONOPLE!$F$14,$M124,AQ$13))))</f>
        <v>1000000000000</v>
      </c>
      <c r="AR124" s="181">
        <f ca="1">IF($D124&lt;&gt;"Serviço",0,IF(AND(AUTOEVENTO="Manual",$M124=1),0,IF(OFFSET(CRONOPLE!$F$14,$M124,AR$13)="",10^12,OFFSET(CRONOPLE!$F$14,$M124,AR$13))))</f>
        <v>1000000000000</v>
      </c>
      <c r="AS124" s="181">
        <f ca="1">IF($D124&lt;&gt;"Serviço",0,IF(AND(AUTOEVENTO="Manual",$M124=1),0,IF(OFFSET(CRONOPLE!$F$14,$M124,AS$13)="",10^12,OFFSET(CRONOPLE!$F$14,$M124,AS$13))))</f>
        <v>1000000000000</v>
      </c>
      <c r="AT124" s="181">
        <f ca="1">IF($D124&lt;&gt;"Serviço",0,IF(AND(AUTOEVENTO="Manual",$M124=1),0,IF(OFFSET(CRONOPLE!$F$14,$M124,AT$13)="",10^12,OFFSET(CRONOPLE!$F$14,$M124,AT$13))))</f>
        <v>1000000000000</v>
      </c>
      <c r="AU124" s="181">
        <f ca="1">IF($D124&lt;&gt;"Serviço",0,IF(AND(AUTOEVENTO="Manual",$M124=1),0,IF(OFFSET(CRONOPLE!$F$14,$M124,AU$13)="",10^12,OFFSET(CRONOPLE!$F$14,$M124,AU$13))))</f>
        <v>1000000000000</v>
      </c>
      <c r="AV124" s="181">
        <f ca="1">IF($D124&lt;&gt;"Serviço",0,IF(AND(AUTOEVENTO="Manual",$M124=1),0,IF(OFFSET(CRONOPLE!$F$14,$M124,AV$13)="",10^12,OFFSET(CRONOPLE!$F$14,$M124,AV$13))))</f>
        <v>1000000000000</v>
      </c>
      <c r="AX124" s="182">
        <f ca="1">IF($D124&lt;&gt;"Serviço",0,IF(OR(AND(AUTOEVENTO="Manual",$M124=1),$M124&gt;(ROW(PLE.lastrow)-ROW(PLE.firstrow))),0,IF(OFFSET(PLE!$G$14,$M124,AX$13)="",10^12,OFFSET(PLE!$G$14,$M124,AX$13))))</f>
        <v>1000000000000</v>
      </c>
      <c r="AY124" s="182">
        <f ca="1">IF($D124&lt;&gt;"Serviço",0,IF(OR(AND(AUTOEVENTO="Manual",$M124=1),$M124&gt;(ROW(PLE.lastrow)-ROW(PLE.firstrow))),0,IF(OFFSET(PLE!$G$14,$M124,AY$13)="",10^12,OFFSET(PLE!$G$14,$M124,AY$13))))</f>
        <v>1000000000000</v>
      </c>
      <c r="AZ124" s="182">
        <f ca="1">IF($D124&lt;&gt;"Serviço",0,IF(OR(AND(AUTOEVENTO="Manual",$M124=1),$M124&gt;(ROW(PLE.lastrow)-ROW(PLE.firstrow))),0,IF(OFFSET(PLE!$G$14,$M124,AZ$13)="",10^12,OFFSET(PLE!$G$14,$M124,AZ$13))))</f>
        <v>1000000000000</v>
      </c>
      <c r="BA124" s="182">
        <f ca="1">IF($D124&lt;&gt;"Serviço",0,IF(OR(AND(AUTOEVENTO="Manual",$M124=1),$M124&gt;(ROW(PLE.lastrow)-ROW(PLE.firstrow))),0,IF(OFFSET(PLE!$G$14,$M124,BA$13)="",10^12,OFFSET(PLE!$G$14,$M124,BA$13))))</f>
        <v>1000000000000</v>
      </c>
      <c r="BB124" s="182">
        <f ca="1">IF($D124&lt;&gt;"Serviço",0,IF(OR(AND(AUTOEVENTO="Manual",$M124=1),$M124&gt;(ROW(PLE.lastrow)-ROW(PLE.firstrow))),0,IF(OFFSET(PLE!$G$14,$M124,BB$13)="",10^12,OFFSET(PLE!$G$14,$M124,BB$13))))</f>
        <v>1000000000000</v>
      </c>
      <c r="BC124" s="182">
        <f ca="1">IF($D124&lt;&gt;"Serviço",0,IF(OR(AND(AUTOEVENTO="Manual",$M124=1),$M124&gt;(ROW(PLE.lastrow)-ROW(PLE.firstrow))),0,IF(OFFSET(PLE!$G$14,$M124,BC$13)="",10^12,OFFSET(PLE!$G$14,$M124,BC$13))))</f>
        <v>1000000000000</v>
      </c>
      <c r="BD124" s="182">
        <f ca="1">IF($D124&lt;&gt;"Serviço",0,IF(OR(AND(AUTOEVENTO="Manual",$M124=1),$M124&gt;(ROW(PLE.lastrow)-ROW(PLE.firstrow))),0,IF(OFFSET(PLE!$G$14,$M124,BD$13)="",10^12,OFFSET(PLE!$G$14,$M124,BD$13))))</f>
        <v>1000000000000</v>
      </c>
      <c r="BE124" s="182">
        <f ca="1">IF($D124&lt;&gt;"Serviço",0,IF(OR(AND(AUTOEVENTO="Manual",$M124=1),$M124&gt;(ROW(PLE.lastrow)-ROW(PLE.firstrow))),0,IF(OFFSET(PLE!$G$14,$M124,BE$13)="",10^12,OFFSET(PLE!$G$14,$M124,BE$13))))</f>
        <v>1000000000000</v>
      </c>
      <c r="BF124" s="182">
        <f ca="1">IF($D124&lt;&gt;"Serviço",0,IF(OR(AND(AUTOEVENTO="Manual",$M124=1),$M124&gt;(ROW(PLE.lastrow)-ROW(PLE.firstrow))),0,IF(OFFSET(PLE!$G$14,$M124,BF$13)="",10^12,OFFSET(PLE!$G$14,$M124,BF$13))))</f>
        <v>1000000000000</v>
      </c>
      <c r="BG124" s="182">
        <f ca="1">IF($D124&lt;&gt;"Serviço",0,IF(OR(AND(AUTOEVENTO="Manual",$M124=1),$M124&gt;(ROW(PLE.lastrow)-ROW(PLE.firstrow))),0,IF(OFFSET(PLE!$G$14,$M124,BG$13)="",10^12,OFFSET(PLE!$G$14,$M124,BG$13))))</f>
        <v>1000000000000</v>
      </c>
    </row>
    <row r="125" spans="1:59" ht="25.5" x14ac:dyDescent="0.2">
      <c r="A125" s="7" t="str">
        <f t="shared" ref="A125:A164" ca="1" si="13">IF(AUTOEVENTO="Manual",IF(K125&lt;&gt;"",MIN(VALUE(LEFT(K125,FIND(".",K125)-1)),COUNTA(EVENTOS.Lista)),0),IF(OR($B125&gt;AUTOEVENTO,$B125="S",$B125=0),SUBSTITUTE(OFFSET($A125,-1,0),IF($D125="Serviço",".",""),""),ROW(A125)-ROW($A$15)&amp;"."))</f>
        <v>108</v>
      </c>
      <c r="B125" s="7" t="str">
        <f ca="1">OFFSET(ORÇAMENTO!C$15,ROW(B125)-ROW(B$15),0)</f>
        <v>S</v>
      </c>
      <c r="C125" s="7" t="str">
        <f ca="1">OFFSET(ORÇAMENTO!L$15,ROW(C125)-ROW(C$15),0)</f>
        <v>F</v>
      </c>
      <c r="D125" s="118" t="str">
        <f ca="1">OFFSET(ORÇAMENTO!N$15,ROW(D125)-ROW(D$15),0)</f>
        <v>Serviço</v>
      </c>
      <c r="E125" s="119" t="str">
        <f ca="1">OFFSET(ORÇAMENTO!O$15,ROW(E125)-ROW(E$15),0)</f>
        <v>8.1.2.</v>
      </c>
      <c r="F125" s="172" t="str">
        <f ca="1">OFFSET(ORÇAMENTO!R$15,ROW(F125)-ROW(F$15),0)</f>
        <v>TEXTURA ACRÍLICA, APLICAÇÃO MANUAL EM PAREDE, UMA DEMÃO. AF_04/2023</v>
      </c>
      <c r="G125" s="173" t="str">
        <f ca="1">IF($D125&lt;&gt;"Serviço","",OFFSET(ORÇAMENTO!S$15,ROW(G125)-ROW(G$15),0))</f>
        <v>M2</v>
      </c>
      <c r="H125" s="124">
        <f ca="1">IF($D125&lt;&gt;"Serviço",0,IF(ACOMPANHAMENTO="BM",ROUND(OFFSET(ORÇAMENTO!AJ$15,ROW(H125)-ROW(H$15),0),15-13*ORÇAMENTO!$AF$7),SUMPRODUCT(($Q$12:$AA$12&lt;&gt;"")*ROUND($Q125:$AA125,15-13*ORÇAMENTO!$AF$7))))</f>
        <v>160.44</v>
      </c>
      <c r="I125" s="561"/>
      <c r="K125" s="174"/>
      <c r="L125" s="175" t="s">
        <v>255</v>
      </c>
      <c r="M125" s="176">
        <f ca="1">IF($D125&lt;&gt;"Serviço","",IF(AUTOEVENTO="manual",$A125,IF(ISERROR(MATCH($A125,$A$15:OFFSET($A125,-1,0),0)),MAX($M$15:OFFSET(M125,-1,0))+1,INDEX($M$15:OFFSET(M125,-1,0),MATCH($A125,$A$15:OFFSET($A125,-1,0),0)))))</f>
        <v>18</v>
      </c>
      <c r="N125" s="177" t="str">
        <f ca="1">IF($D125&lt;&gt;"Serviço","",IF(AUTOEVENTO="Manual",IF($A125=0,"&lt;-- defina o número do agrupador",OFFSET(EVENTOS!$D$14,$A125,0)),OFFSET($F$15,$A125,0)))</f>
        <v xml:space="preserve">PINTURA </v>
      </c>
      <c r="O125" s="178"/>
      <c r="Q125" s="178"/>
      <c r="R125" s="179"/>
      <c r="S125" s="179"/>
      <c r="T125" s="179"/>
      <c r="U125" s="179"/>
      <c r="V125" s="179"/>
      <c r="W125" s="179"/>
      <c r="X125" s="179"/>
      <c r="Y125" s="179"/>
      <c r="Z125" s="180"/>
      <c r="AB125" s="544">
        <f ca="1">IF(AND($D125="Serviço",AB$12&lt;&gt;0,$H125&gt;0,OR(AUTOEVENTO&lt;&gt;"manual",$M125&lt;&gt;1)),
IF(Import.TipoArredondamento&lt;&gt;"TransfereGOV",
ROUND(OFFSET($P125,0,AB$13),15-13*ORÇAMENTO!$AF$7)/$H125*OFFSET(ORÇAMENTO!$X$15,ROW(AB125)-ROW(AB$15),0),
ROUND(ROUND(OFFSET($P125,0,AB$13),15-13*ORÇAMENTO!$AF$7)*OFFSET(ORÇAMENTO!$W$15,ROW(AB125)-ROW(AB$15),0),15-13*ORÇAMENTO!$AF$11)),0)</f>
        <v>0</v>
      </c>
      <c r="AC125" s="545">
        <f ca="1">IF(AND($D125="Serviço",AC$12&lt;&gt;0,$H125&gt;0,OR(AUTOEVENTO&lt;&gt;"manual",$M125&lt;&gt;1)),
IF(Import.TipoArredondamento&lt;&gt;"TransfereGOV",
ROUND(OFFSET($P125,0,AC$13),15-13*ORÇAMENTO!$AF$7)/$H125*OFFSET(ORÇAMENTO!$X$15,ROW(AC125)-ROW(AC$15),0),
ROUND(ROUND(OFFSET($P125,0,AC$13),15-13*ORÇAMENTO!$AF$7)*OFFSET(ORÇAMENTO!$W$15,ROW(AC125)-ROW(AC$15),0),15-13*ORÇAMENTO!$AF$11)),0)</f>
        <v>0</v>
      </c>
      <c r="AD125" s="545">
        <f ca="1">IF(AND($D125="Serviço",AD$12&lt;&gt;0,$H125&gt;0,OR(AUTOEVENTO&lt;&gt;"manual",$M125&lt;&gt;1)),
IF(Import.TipoArredondamento&lt;&gt;"TransfereGOV",
ROUND(OFFSET($P125,0,AD$13),15-13*ORÇAMENTO!$AF$7)/$H125*OFFSET(ORÇAMENTO!$X$15,ROW(AD125)-ROW(AD$15),0),
ROUND(ROUND(OFFSET($P125,0,AD$13),15-13*ORÇAMENTO!$AF$7)*OFFSET(ORÇAMENTO!$W$15,ROW(AD125)-ROW(AD$15),0),15-13*ORÇAMENTO!$AF$11)),0)</f>
        <v>0</v>
      </c>
      <c r="AE125" s="545">
        <f ca="1">IF(AND($D125="Serviço",AE$12&lt;&gt;0,$H125&gt;0,OR(AUTOEVENTO&lt;&gt;"manual",$M125&lt;&gt;1)),
IF(Import.TipoArredondamento&lt;&gt;"TransfereGOV",
ROUND(OFFSET($P125,0,AE$13),15-13*ORÇAMENTO!$AF$7)/$H125*OFFSET(ORÇAMENTO!$X$15,ROW(AE125)-ROW(AE$15),0),
ROUND(ROUND(OFFSET($P125,0,AE$13),15-13*ORÇAMENTO!$AF$7)*OFFSET(ORÇAMENTO!$W$15,ROW(AE125)-ROW(AE$15),0),15-13*ORÇAMENTO!$AF$11)),0)</f>
        <v>0</v>
      </c>
      <c r="AF125" s="545">
        <f ca="1">IF(AND($D125="Serviço",AF$12&lt;&gt;0,$H125&gt;0,OR(AUTOEVENTO&lt;&gt;"manual",$M125&lt;&gt;1)),
IF(Import.TipoArredondamento&lt;&gt;"TransfereGOV",
ROUND(OFFSET($P125,0,AF$13),15-13*ORÇAMENTO!$AF$7)/$H125*OFFSET(ORÇAMENTO!$X$15,ROW(AF125)-ROW(AF$15),0),
ROUND(ROUND(OFFSET($P125,0,AF$13),15-13*ORÇAMENTO!$AF$7)*OFFSET(ORÇAMENTO!$W$15,ROW(AF125)-ROW(AF$15),0),15-13*ORÇAMENTO!$AF$11)),0)</f>
        <v>0</v>
      </c>
      <c r="AG125" s="545">
        <f ca="1">IF(AND($D125="Serviço",AG$12&lt;&gt;0,$H125&gt;0,OR(AUTOEVENTO&lt;&gt;"manual",$M125&lt;&gt;1)),
IF(Import.TipoArredondamento&lt;&gt;"TransfereGOV",
ROUND(OFFSET($P125,0,AG$13),15-13*ORÇAMENTO!$AF$7)/$H125*OFFSET(ORÇAMENTO!$X$15,ROW(AG125)-ROW(AG$15),0),
ROUND(ROUND(OFFSET($P125,0,AG$13),15-13*ORÇAMENTO!$AF$7)*OFFSET(ORÇAMENTO!$W$15,ROW(AG125)-ROW(AG$15),0),15-13*ORÇAMENTO!$AF$11)),0)</f>
        <v>0</v>
      </c>
      <c r="AH125" s="545">
        <f ca="1">IF(AND($D125="Serviço",AH$12&lt;&gt;0,$H125&gt;0,OR(AUTOEVENTO&lt;&gt;"manual",$M125&lt;&gt;1)),
IF(Import.TipoArredondamento&lt;&gt;"TransfereGOV",
ROUND(OFFSET($P125,0,AH$13),15-13*ORÇAMENTO!$AF$7)/$H125*OFFSET(ORÇAMENTO!$X$15,ROW(AH125)-ROW(AH$15),0),
ROUND(ROUND(OFFSET($P125,0,AH$13),15-13*ORÇAMENTO!$AF$7)*OFFSET(ORÇAMENTO!$W$15,ROW(AH125)-ROW(AH$15),0),15-13*ORÇAMENTO!$AF$11)),0)</f>
        <v>0</v>
      </c>
      <c r="AI125" s="545">
        <f ca="1">IF(AND($D125="Serviço",AI$12&lt;&gt;0,$H125&gt;0,OR(AUTOEVENTO&lt;&gt;"manual",$M125&lt;&gt;1)),
IF(Import.TipoArredondamento&lt;&gt;"TransfereGOV",
ROUND(OFFSET($P125,0,AI$13),15-13*ORÇAMENTO!$AF$7)/$H125*OFFSET(ORÇAMENTO!$X$15,ROW(AI125)-ROW(AI$15),0),
ROUND(ROUND(OFFSET($P125,0,AI$13),15-13*ORÇAMENTO!$AF$7)*OFFSET(ORÇAMENTO!$W$15,ROW(AI125)-ROW(AI$15),0),15-13*ORÇAMENTO!$AF$11)),0)</f>
        <v>0</v>
      </c>
      <c r="AJ125" s="545">
        <f ca="1">IF(AND($D125="Serviço",AJ$12&lt;&gt;0,$H125&gt;0,OR(AUTOEVENTO&lt;&gt;"manual",$M125&lt;&gt;1)),
IF(Import.TipoArredondamento&lt;&gt;"TransfereGOV",
ROUND(OFFSET($P125,0,AJ$13),15-13*ORÇAMENTO!$AF$7)/$H125*OFFSET(ORÇAMENTO!$X$15,ROW(AJ125)-ROW(AJ$15),0),
ROUND(ROUND(OFFSET($P125,0,AJ$13),15-13*ORÇAMENTO!$AF$7)*OFFSET(ORÇAMENTO!$W$15,ROW(AJ125)-ROW(AJ$15),0),15-13*ORÇAMENTO!$AF$11)),0)</f>
        <v>0</v>
      </c>
      <c r="AK125" s="546">
        <f ca="1">IF(AND($D125="Serviço",AK$12&lt;&gt;0,$H125&gt;0,OR(AUTOEVENTO&lt;&gt;"manual",$M125&lt;&gt;1)),
IF(Import.TipoArredondamento&lt;&gt;"TransfereGOV",
ROUND(OFFSET($P125,0,AK$13),15-13*ORÇAMENTO!$AF$7)/$H125*OFFSET(ORÇAMENTO!$X$15,ROW(AK125)-ROW(AK$15),0),
ROUND(ROUND(OFFSET($P125,0,AK$13),15-13*ORÇAMENTO!$AF$7)*OFFSET(ORÇAMENTO!$W$15,ROW(AK125)-ROW(AK$15),0),15-13*ORÇAMENTO!$AF$11)),0)</f>
        <v>0</v>
      </c>
      <c r="AM125" s="181">
        <f ca="1">IF($D125&lt;&gt;"Serviço",0,IF(AND(AUTOEVENTO="Manual",$M125=1),0,IF(OFFSET(CRONOPLE!$F$14,$M125,AM$13)="",10^12,OFFSET(CRONOPLE!$F$14,$M125,AM$13))))</f>
        <v>1000000000000</v>
      </c>
      <c r="AN125" s="181">
        <f ca="1">IF($D125&lt;&gt;"Serviço",0,IF(AND(AUTOEVENTO="Manual",$M125=1),0,IF(OFFSET(CRONOPLE!$F$14,$M125,AN$13)="",10^12,OFFSET(CRONOPLE!$F$14,$M125,AN$13))))</f>
        <v>1000000000000</v>
      </c>
      <c r="AO125" s="181">
        <f ca="1">IF($D125&lt;&gt;"Serviço",0,IF(AND(AUTOEVENTO="Manual",$M125=1),0,IF(OFFSET(CRONOPLE!$F$14,$M125,AO$13)="",10^12,OFFSET(CRONOPLE!$F$14,$M125,AO$13))))</f>
        <v>1000000000000</v>
      </c>
      <c r="AP125" s="181">
        <f ca="1">IF($D125&lt;&gt;"Serviço",0,IF(AND(AUTOEVENTO="Manual",$M125=1),0,IF(OFFSET(CRONOPLE!$F$14,$M125,AP$13)="",10^12,OFFSET(CRONOPLE!$F$14,$M125,AP$13))))</f>
        <v>1000000000000</v>
      </c>
      <c r="AQ125" s="181">
        <f ca="1">IF($D125&lt;&gt;"Serviço",0,IF(AND(AUTOEVENTO="Manual",$M125=1),0,IF(OFFSET(CRONOPLE!$F$14,$M125,AQ$13)="",10^12,OFFSET(CRONOPLE!$F$14,$M125,AQ$13))))</f>
        <v>1000000000000</v>
      </c>
      <c r="AR125" s="181">
        <f ca="1">IF($D125&lt;&gt;"Serviço",0,IF(AND(AUTOEVENTO="Manual",$M125=1),0,IF(OFFSET(CRONOPLE!$F$14,$M125,AR$13)="",10^12,OFFSET(CRONOPLE!$F$14,$M125,AR$13))))</f>
        <v>1000000000000</v>
      </c>
      <c r="AS125" s="181">
        <f ca="1">IF($D125&lt;&gt;"Serviço",0,IF(AND(AUTOEVENTO="Manual",$M125=1),0,IF(OFFSET(CRONOPLE!$F$14,$M125,AS$13)="",10^12,OFFSET(CRONOPLE!$F$14,$M125,AS$13))))</f>
        <v>1000000000000</v>
      </c>
      <c r="AT125" s="181">
        <f ca="1">IF($D125&lt;&gt;"Serviço",0,IF(AND(AUTOEVENTO="Manual",$M125=1),0,IF(OFFSET(CRONOPLE!$F$14,$M125,AT$13)="",10^12,OFFSET(CRONOPLE!$F$14,$M125,AT$13))))</f>
        <v>1000000000000</v>
      </c>
      <c r="AU125" s="181">
        <f ca="1">IF($D125&lt;&gt;"Serviço",0,IF(AND(AUTOEVENTO="Manual",$M125=1),0,IF(OFFSET(CRONOPLE!$F$14,$M125,AU$13)="",10^12,OFFSET(CRONOPLE!$F$14,$M125,AU$13))))</f>
        <v>1000000000000</v>
      </c>
      <c r="AV125" s="181">
        <f ca="1">IF($D125&lt;&gt;"Serviço",0,IF(AND(AUTOEVENTO="Manual",$M125=1),0,IF(OFFSET(CRONOPLE!$F$14,$M125,AV$13)="",10^12,OFFSET(CRONOPLE!$F$14,$M125,AV$13))))</f>
        <v>1000000000000</v>
      </c>
      <c r="AX125" s="182">
        <f ca="1">IF($D125&lt;&gt;"Serviço",0,IF(OR(AND(AUTOEVENTO="Manual",$M125=1),$M125&gt;(ROW(PLE.lastrow)-ROW(PLE.firstrow))),0,IF(OFFSET(PLE!$G$14,$M125,AX$13)="",10^12,OFFSET(PLE!$G$14,$M125,AX$13))))</f>
        <v>1000000000000</v>
      </c>
      <c r="AY125" s="182">
        <f ca="1">IF($D125&lt;&gt;"Serviço",0,IF(OR(AND(AUTOEVENTO="Manual",$M125=1),$M125&gt;(ROW(PLE.lastrow)-ROW(PLE.firstrow))),0,IF(OFFSET(PLE!$G$14,$M125,AY$13)="",10^12,OFFSET(PLE!$G$14,$M125,AY$13))))</f>
        <v>1000000000000</v>
      </c>
      <c r="AZ125" s="182">
        <f ca="1">IF($D125&lt;&gt;"Serviço",0,IF(OR(AND(AUTOEVENTO="Manual",$M125=1),$M125&gt;(ROW(PLE.lastrow)-ROW(PLE.firstrow))),0,IF(OFFSET(PLE!$G$14,$M125,AZ$13)="",10^12,OFFSET(PLE!$G$14,$M125,AZ$13))))</f>
        <v>1000000000000</v>
      </c>
      <c r="BA125" s="182">
        <f ca="1">IF($D125&lt;&gt;"Serviço",0,IF(OR(AND(AUTOEVENTO="Manual",$M125=1),$M125&gt;(ROW(PLE.lastrow)-ROW(PLE.firstrow))),0,IF(OFFSET(PLE!$G$14,$M125,BA$13)="",10^12,OFFSET(PLE!$G$14,$M125,BA$13))))</f>
        <v>1000000000000</v>
      </c>
      <c r="BB125" s="182">
        <f ca="1">IF($D125&lt;&gt;"Serviço",0,IF(OR(AND(AUTOEVENTO="Manual",$M125=1),$M125&gt;(ROW(PLE.lastrow)-ROW(PLE.firstrow))),0,IF(OFFSET(PLE!$G$14,$M125,BB$13)="",10^12,OFFSET(PLE!$G$14,$M125,BB$13))))</f>
        <v>1000000000000</v>
      </c>
      <c r="BC125" s="182">
        <f ca="1">IF($D125&lt;&gt;"Serviço",0,IF(OR(AND(AUTOEVENTO="Manual",$M125=1),$M125&gt;(ROW(PLE.lastrow)-ROW(PLE.firstrow))),0,IF(OFFSET(PLE!$G$14,$M125,BC$13)="",10^12,OFFSET(PLE!$G$14,$M125,BC$13))))</f>
        <v>1000000000000</v>
      </c>
      <c r="BD125" s="182">
        <f ca="1">IF($D125&lt;&gt;"Serviço",0,IF(OR(AND(AUTOEVENTO="Manual",$M125=1),$M125&gt;(ROW(PLE.lastrow)-ROW(PLE.firstrow))),0,IF(OFFSET(PLE!$G$14,$M125,BD$13)="",10^12,OFFSET(PLE!$G$14,$M125,BD$13))))</f>
        <v>1000000000000</v>
      </c>
      <c r="BE125" s="182">
        <f ca="1">IF($D125&lt;&gt;"Serviço",0,IF(OR(AND(AUTOEVENTO="Manual",$M125=1),$M125&gt;(ROW(PLE.lastrow)-ROW(PLE.firstrow))),0,IF(OFFSET(PLE!$G$14,$M125,BE$13)="",10^12,OFFSET(PLE!$G$14,$M125,BE$13))))</f>
        <v>1000000000000</v>
      </c>
      <c r="BF125" s="182">
        <f ca="1">IF($D125&lt;&gt;"Serviço",0,IF(OR(AND(AUTOEVENTO="Manual",$M125=1),$M125&gt;(ROW(PLE.lastrow)-ROW(PLE.firstrow))),0,IF(OFFSET(PLE!$G$14,$M125,BF$13)="",10^12,OFFSET(PLE!$G$14,$M125,BF$13))))</f>
        <v>1000000000000</v>
      </c>
      <c r="BG125" s="182">
        <f ca="1">IF($D125&lt;&gt;"Serviço",0,IF(OR(AND(AUTOEVENTO="Manual",$M125=1),$M125&gt;(ROW(PLE.lastrow)-ROW(PLE.firstrow))),0,IF(OFFSET(PLE!$G$14,$M125,BG$13)="",10^12,OFFSET(PLE!$G$14,$M125,BG$13))))</f>
        <v>1000000000000</v>
      </c>
    </row>
    <row r="126" spans="1:59" ht="25.5" x14ac:dyDescent="0.2">
      <c r="A126" s="7" t="str">
        <f t="shared" ca="1" si="13"/>
        <v>108</v>
      </c>
      <c r="B126" s="7" t="str">
        <f ca="1">OFFSET(ORÇAMENTO!C$15,ROW(B126)-ROW(B$15),0)</f>
        <v>S</v>
      </c>
      <c r="C126" s="7" t="str">
        <f ca="1">OFFSET(ORÇAMENTO!L$15,ROW(C126)-ROW(C$15),0)</f>
        <v>F</v>
      </c>
      <c r="D126" s="118" t="str">
        <f ca="1">OFFSET(ORÇAMENTO!N$15,ROW(D126)-ROW(D$15),0)</f>
        <v>Serviço</v>
      </c>
      <c r="E126" s="119" t="str">
        <f ca="1">OFFSET(ORÇAMENTO!O$15,ROW(E126)-ROW(E$15),0)</f>
        <v>8.1.3.</v>
      </c>
      <c r="F126" s="172" t="str">
        <f ca="1">OFFSET(ORÇAMENTO!R$15,ROW(F126)-ROW(F$15),0)</f>
        <v>PINTURA LÁTEX ACRÍLICA PREMIUM, APLICAÇÃO MANUAL EM PAREDES, DUAS DEMÃOS. AF_04/2023</v>
      </c>
      <c r="G126" s="173" t="str">
        <f ca="1">IF($D126&lt;&gt;"Serviço","",OFFSET(ORÇAMENTO!S$15,ROW(G126)-ROW(G$15),0))</f>
        <v>M2</v>
      </c>
      <c r="H126" s="124">
        <f ca="1">IF($D126&lt;&gt;"Serviço",0,IF(ACOMPANHAMENTO="BM",ROUND(OFFSET(ORÇAMENTO!AJ$15,ROW(H126)-ROW(H$15),0),15-13*ORÇAMENTO!$AF$7),SUMPRODUCT(($Q$12:$AA$12&lt;&gt;"")*ROUND($Q126:$AA126,15-13*ORÇAMENTO!$AF$7))))</f>
        <v>160.44</v>
      </c>
      <c r="I126" s="561"/>
      <c r="K126" s="174"/>
      <c r="L126" s="175" t="s">
        <v>255</v>
      </c>
      <c r="M126" s="176">
        <f ca="1">IF($D126&lt;&gt;"Serviço","",IF(AUTOEVENTO="manual",$A126,IF(ISERROR(MATCH($A126,$A$15:OFFSET($A126,-1,0),0)),MAX($M$15:OFFSET(M126,-1,0))+1,INDEX($M$15:OFFSET(M126,-1,0),MATCH($A126,$A$15:OFFSET($A126,-1,0),0)))))</f>
        <v>18</v>
      </c>
      <c r="N126" s="177" t="str">
        <f ca="1">IF($D126&lt;&gt;"Serviço","",IF(AUTOEVENTO="Manual",IF($A126=0,"&lt;-- defina o número do agrupador",OFFSET(EVENTOS!$D$14,$A126,0)),OFFSET($F$15,$A126,0)))</f>
        <v xml:space="preserve">PINTURA </v>
      </c>
      <c r="O126" s="178"/>
      <c r="Q126" s="178"/>
      <c r="R126" s="179"/>
      <c r="S126" s="179"/>
      <c r="T126" s="179"/>
      <c r="U126" s="179"/>
      <c r="V126" s="179"/>
      <c r="W126" s="179"/>
      <c r="X126" s="179"/>
      <c r="Y126" s="179"/>
      <c r="Z126" s="180"/>
      <c r="AB126" s="544">
        <f ca="1">IF(AND($D126="Serviço",AB$12&lt;&gt;0,$H126&gt;0,OR(AUTOEVENTO&lt;&gt;"manual",$M126&lt;&gt;1)),
IF(Import.TipoArredondamento&lt;&gt;"TransfereGOV",
ROUND(OFFSET($P126,0,AB$13),15-13*ORÇAMENTO!$AF$7)/$H126*OFFSET(ORÇAMENTO!$X$15,ROW(AB126)-ROW(AB$15),0),
ROUND(ROUND(OFFSET($P126,0,AB$13),15-13*ORÇAMENTO!$AF$7)*OFFSET(ORÇAMENTO!$W$15,ROW(AB126)-ROW(AB$15),0),15-13*ORÇAMENTO!$AF$11)),0)</f>
        <v>0</v>
      </c>
      <c r="AC126" s="545">
        <f ca="1">IF(AND($D126="Serviço",AC$12&lt;&gt;0,$H126&gt;0,OR(AUTOEVENTO&lt;&gt;"manual",$M126&lt;&gt;1)),
IF(Import.TipoArredondamento&lt;&gt;"TransfereGOV",
ROUND(OFFSET($P126,0,AC$13),15-13*ORÇAMENTO!$AF$7)/$H126*OFFSET(ORÇAMENTO!$X$15,ROW(AC126)-ROW(AC$15),0),
ROUND(ROUND(OFFSET($P126,0,AC$13),15-13*ORÇAMENTO!$AF$7)*OFFSET(ORÇAMENTO!$W$15,ROW(AC126)-ROW(AC$15),0),15-13*ORÇAMENTO!$AF$11)),0)</f>
        <v>0</v>
      </c>
      <c r="AD126" s="545">
        <f ca="1">IF(AND($D126="Serviço",AD$12&lt;&gt;0,$H126&gt;0,OR(AUTOEVENTO&lt;&gt;"manual",$M126&lt;&gt;1)),
IF(Import.TipoArredondamento&lt;&gt;"TransfereGOV",
ROUND(OFFSET($P126,0,AD$13),15-13*ORÇAMENTO!$AF$7)/$H126*OFFSET(ORÇAMENTO!$X$15,ROW(AD126)-ROW(AD$15),0),
ROUND(ROUND(OFFSET($P126,0,AD$13),15-13*ORÇAMENTO!$AF$7)*OFFSET(ORÇAMENTO!$W$15,ROW(AD126)-ROW(AD$15),0),15-13*ORÇAMENTO!$AF$11)),0)</f>
        <v>0</v>
      </c>
      <c r="AE126" s="545">
        <f ca="1">IF(AND($D126="Serviço",AE$12&lt;&gt;0,$H126&gt;0,OR(AUTOEVENTO&lt;&gt;"manual",$M126&lt;&gt;1)),
IF(Import.TipoArredondamento&lt;&gt;"TransfereGOV",
ROUND(OFFSET($P126,0,AE$13),15-13*ORÇAMENTO!$AF$7)/$H126*OFFSET(ORÇAMENTO!$X$15,ROW(AE126)-ROW(AE$15),0),
ROUND(ROUND(OFFSET($P126,0,AE$13),15-13*ORÇAMENTO!$AF$7)*OFFSET(ORÇAMENTO!$W$15,ROW(AE126)-ROW(AE$15),0),15-13*ORÇAMENTO!$AF$11)),0)</f>
        <v>0</v>
      </c>
      <c r="AF126" s="545">
        <f ca="1">IF(AND($D126="Serviço",AF$12&lt;&gt;0,$H126&gt;0,OR(AUTOEVENTO&lt;&gt;"manual",$M126&lt;&gt;1)),
IF(Import.TipoArredondamento&lt;&gt;"TransfereGOV",
ROUND(OFFSET($P126,0,AF$13),15-13*ORÇAMENTO!$AF$7)/$H126*OFFSET(ORÇAMENTO!$X$15,ROW(AF126)-ROW(AF$15),0),
ROUND(ROUND(OFFSET($P126,0,AF$13),15-13*ORÇAMENTO!$AF$7)*OFFSET(ORÇAMENTO!$W$15,ROW(AF126)-ROW(AF$15),0),15-13*ORÇAMENTO!$AF$11)),0)</f>
        <v>0</v>
      </c>
      <c r="AG126" s="545">
        <f ca="1">IF(AND($D126="Serviço",AG$12&lt;&gt;0,$H126&gt;0,OR(AUTOEVENTO&lt;&gt;"manual",$M126&lt;&gt;1)),
IF(Import.TipoArredondamento&lt;&gt;"TransfereGOV",
ROUND(OFFSET($P126,0,AG$13),15-13*ORÇAMENTO!$AF$7)/$H126*OFFSET(ORÇAMENTO!$X$15,ROW(AG126)-ROW(AG$15),0),
ROUND(ROUND(OFFSET($P126,0,AG$13),15-13*ORÇAMENTO!$AF$7)*OFFSET(ORÇAMENTO!$W$15,ROW(AG126)-ROW(AG$15),0),15-13*ORÇAMENTO!$AF$11)),0)</f>
        <v>0</v>
      </c>
      <c r="AH126" s="545">
        <f ca="1">IF(AND($D126="Serviço",AH$12&lt;&gt;0,$H126&gt;0,OR(AUTOEVENTO&lt;&gt;"manual",$M126&lt;&gt;1)),
IF(Import.TipoArredondamento&lt;&gt;"TransfereGOV",
ROUND(OFFSET($P126,0,AH$13),15-13*ORÇAMENTO!$AF$7)/$H126*OFFSET(ORÇAMENTO!$X$15,ROW(AH126)-ROW(AH$15),0),
ROUND(ROUND(OFFSET($P126,0,AH$13),15-13*ORÇAMENTO!$AF$7)*OFFSET(ORÇAMENTO!$W$15,ROW(AH126)-ROW(AH$15),0),15-13*ORÇAMENTO!$AF$11)),0)</f>
        <v>0</v>
      </c>
      <c r="AI126" s="545">
        <f ca="1">IF(AND($D126="Serviço",AI$12&lt;&gt;0,$H126&gt;0,OR(AUTOEVENTO&lt;&gt;"manual",$M126&lt;&gt;1)),
IF(Import.TipoArredondamento&lt;&gt;"TransfereGOV",
ROUND(OFFSET($P126,0,AI$13),15-13*ORÇAMENTO!$AF$7)/$H126*OFFSET(ORÇAMENTO!$X$15,ROW(AI126)-ROW(AI$15),0),
ROUND(ROUND(OFFSET($P126,0,AI$13),15-13*ORÇAMENTO!$AF$7)*OFFSET(ORÇAMENTO!$W$15,ROW(AI126)-ROW(AI$15),0),15-13*ORÇAMENTO!$AF$11)),0)</f>
        <v>0</v>
      </c>
      <c r="AJ126" s="545">
        <f ca="1">IF(AND($D126="Serviço",AJ$12&lt;&gt;0,$H126&gt;0,OR(AUTOEVENTO&lt;&gt;"manual",$M126&lt;&gt;1)),
IF(Import.TipoArredondamento&lt;&gt;"TransfereGOV",
ROUND(OFFSET($P126,0,AJ$13),15-13*ORÇAMENTO!$AF$7)/$H126*OFFSET(ORÇAMENTO!$X$15,ROW(AJ126)-ROW(AJ$15),0),
ROUND(ROUND(OFFSET($P126,0,AJ$13),15-13*ORÇAMENTO!$AF$7)*OFFSET(ORÇAMENTO!$W$15,ROW(AJ126)-ROW(AJ$15),0),15-13*ORÇAMENTO!$AF$11)),0)</f>
        <v>0</v>
      </c>
      <c r="AK126" s="546">
        <f ca="1">IF(AND($D126="Serviço",AK$12&lt;&gt;0,$H126&gt;0,OR(AUTOEVENTO&lt;&gt;"manual",$M126&lt;&gt;1)),
IF(Import.TipoArredondamento&lt;&gt;"TransfereGOV",
ROUND(OFFSET($P126,0,AK$13),15-13*ORÇAMENTO!$AF$7)/$H126*OFFSET(ORÇAMENTO!$X$15,ROW(AK126)-ROW(AK$15),0),
ROUND(ROUND(OFFSET($P126,0,AK$13),15-13*ORÇAMENTO!$AF$7)*OFFSET(ORÇAMENTO!$W$15,ROW(AK126)-ROW(AK$15),0),15-13*ORÇAMENTO!$AF$11)),0)</f>
        <v>0</v>
      </c>
      <c r="AM126" s="181">
        <f ca="1">IF($D126&lt;&gt;"Serviço",0,IF(AND(AUTOEVENTO="Manual",$M126=1),0,IF(OFFSET(CRONOPLE!$F$14,$M126,AM$13)="",10^12,OFFSET(CRONOPLE!$F$14,$M126,AM$13))))</f>
        <v>1000000000000</v>
      </c>
      <c r="AN126" s="181">
        <f ca="1">IF($D126&lt;&gt;"Serviço",0,IF(AND(AUTOEVENTO="Manual",$M126=1),0,IF(OFFSET(CRONOPLE!$F$14,$M126,AN$13)="",10^12,OFFSET(CRONOPLE!$F$14,$M126,AN$13))))</f>
        <v>1000000000000</v>
      </c>
      <c r="AO126" s="181">
        <f ca="1">IF($D126&lt;&gt;"Serviço",0,IF(AND(AUTOEVENTO="Manual",$M126=1),0,IF(OFFSET(CRONOPLE!$F$14,$M126,AO$13)="",10^12,OFFSET(CRONOPLE!$F$14,$M126,AO$13))))</f>
        <v>1000000000000</v>
      </c>
      <c r="AP126" s="181">
        <f ca="1">IF($D126&lt;&gt;"Serviço",0,IF(AND(AUTOEVENTO="Manual",$M126=1),0,IF(OFFSET(CRONOPLE!$F$14,$M126,AP$13)="",10^12,OFFSET(CRONOPLE!$F$14,$M126,AP$13))))</f>
        <v>1000000000000</v>
      </c>
      <c r="AQ126" s="181">
        <f ca="1">IF($D126&lt;&gt;"Serviço",0,IF(AND(AUTOEVENTO="Manual",$M126=1),0,IF(OFFSET(CRONOPLE!$F$14,$M126,AQ$13)="",10^12,OFFSET(CRONOPLE!$F$14,$M126,AQ$13))))</f>
        <v>1000000000000</v>
      </c>
      <c r="AR126" s="181">
        <f ca="1">IF($D126&lt;&gt;"Serviço",0,IF(AND(AUTOEVENTO="Manual",$M126=1),0,IF(OFFSET(CRONOPLE!$F$14,$M126,AR$13)="",10^12,OFFSET(CRONOPLE!$F$14,$M126,AR$13))))</f>
        <v>1000000000000</v>
      </c>
      <c r="AS126" s="181">
        <f ca="1">IF($D126&lt;&gt;"Serviço",0,IF(AND(AUTOEVENTO="Manual",$M126=1),0,IF(OFFSET(CRONOPLE!$F$14,$M126,AS$13)="",10^12,OFFSET(CRONOPLE!$F$14,$M126,AS$13))))</f>
        <v>1000000000000</v>
      </c>
      <c r="AT126" s="181">
        <f ca="1">IF($D126&lt;&gt;"Serviço",0,IF(AND(AUTOEVENTO="Manual",$M126=1),0,IF(OFFSET(CRONOPLE!$F$14,$M126,AT$13)="",10^12,OFFSET(CRONOPLE!$F$14,$M126,AT$13))))</f>
        <v>1000000000000</v>
      </c>
      <c r="AU126" s="181">
        <f ca="1">IF($D126&lt;&gt;"Serviço",0,IF(AND(AUTOEVENTO="Manual",$M126=1),0,IF(OFFSET(CRONOPLE!$F$14,$M126,AU$13)="",10^12,OFFSET(CRONOPLE!$F$14,$M126,AU$13))))</f>
        <v>1000000000000</v>
      </c>
      <c r="AV126" s="181">
        <f ca="1">IF($D126&lt;&gt;"Serviço",0,IF(AND(AUTOEVENTO="Manual",$M126=1),0,IF(OFFSET(CRONOPLE!$F$14,$M126,AV$13)="",10^12,OFFSET(CRONOPLE!$F$14,$M126,AV$13))))</f>
        <v>1000000000000</v>
      </c>
      <c r="AX126" s="182">
        <f ca="1">IF($D126&lt;&gt;"Serviço",0,IF(OR(AND(AUTOEVENTO="Manual",$M126=1),$M126&gt;(ROW(PLE.lastrow)-ROW(PLE.firstrow))),0,IF(OFFSET(PLE!$G$14,$M126,AX$13)="",10^12,OFFSET(PLE!$G$14,$M126,AX$13))))</f>
        <v>1000000000000</v>
      </c>
      <c r="AY126" s="182">
        <f ca="1">IF($D126&lt;&gt;"Serviço",0,IF(OR(AND(AUTOEVENTO="Manual",$M126=1),$M126&gt;(ROW(PLE.lastrow)-ROW(PLE.firstrow))),0,IF(OFFSET(PLE!$G$14,$M126,AY$13)="",10^12,OFFSET(PLE!$G$14,$M126,AY$13))))</f>
        <v>1000000000000</v>
      </c>
      <c r="AZ126" s="182">
        <f ca="1">IF($D126&lt;&gt;"Serviço",0,IF(OR(AND(AUTOEVENTO="Manual",$M126=1),$M126&gt;(ROW(PLE.lastrow)-ROW(PLE.firstrow))),0,IF(OFFSET(PLE!$G$14,$M126,AZ$13)="",10^12,OFFSET(PLE!$G$14,$M126,AZ$13))))</f>
        <v>1000000000000</v>
      </c>
      <c r="BA126" s="182">
        <f ca="1">IF($D126&lt;&gt;"Serviço",0,IF(OR(AND(AUTOEVENTO="Manual",$M126=1),$M126&gt;(ROW(PLE.lastrow)-ROW(PLE.firstrow))),0,IF(OFFSET(PLE!$G$14,$M126,BA$13)="",10^12,OFFSET(PLE!$G$14,$M126,BA$13))))</f>
        <v>1000000000000</v>
      </c>
      <c r="BB126" s="182">
        <f ca="1">IF($D126&lt;&gt;"Serviço",0,IF(OR(AND(AUTOEVENTO="Manual",$M126=1),$M126&gt;(ROW(PLE.lastrow)-ROW(PLE.firstrow))),0,IF(OFFSET(PLE!$G$14,$M126,BB$13)="",10^12,OFFSET(PLE!$G$14,$M126,BB$13))))</f>
        <v>1000000000000</v>
      </c>
      <c r="BC126" s="182">
        <f ca="1">IF($D126&lt;&gt;"Serviço",0,IF(OR(AND(AUTOEVENTO="Manual",$M126=1),$M126&gt;(ROW(PLE.lastrow)-ROW(PLE.firstrow))),0,IF(OFFSET(PLE!$G$14,$M126,BC$13)="",10^12,OFFSET(PLE!$G$14,$M126,BC$13))))</f>
        <v>1000000000000</v>
      </c>
      <c r="BD126" s="182">
        <f ca="1">IF($D126&lt;&gt;"Serviço",0,IF(OR(AND(AUTOEVENTO="Manual",$M126=1),$M126&gt;(ROW(PLE.lastrow)-ROW(PLE.firstrow))),0,IF(OFFSET(PLE!$G$14,$M126,BD$13)="",10^12,OFFSET(PLE!$G$14,$M126,BD$13))))</f>
        <v>1000000000000</v>
      </c>
      <c r="BE126" s="182">
        <f ca="1">IF($D126&lt;&gt;"Serviço",0,IF(OR(AND(AUTOEVENTO="Manual",$M126=1),$M126&gt;(ROW(PLE.lastrow)-ROW(PLE.firstrow))),0,IF(OFFSET(PLE!$G$14,$M126,BE$13)="",10^12,OFFSET(PLE!$G$14,$M126,BE$13))))</f>
        <v>1000000000000</v>
      </c>
      <c r="BF126" s="182">
        <f ca="1">IF($D126&lt;&gt;"Serviço",0,IF(OR(AND(AUTOEVENTO="Manual",$M126=1),$M126&gt;(ROW(PLE.lastrow)-ROW(PLE.firstrow))),0,IF(OFFSET(PLE!$G$14,$M126,BF$13)="",10^12,OFFSET(PLE!$G$14,$M126,BF$13))))</f>
        <v>1000000000000</v>
      </c>
      <c r="BG126" s="182">
        <f ca="1">IF($D126&lt;&gt;"Serviço",0,IF(OR(AND(AUTOEVENTO="Manual",$M126=1),$M126&gt;(ROW(PLE.lastrow)-ROW(PLE.firstrow))),0,IF(OFFSET(PLE!$G$14,$M126,BG$13)="",10^12,OFFSET(PLE!$G$14,$M126,BG$13))))</f>
        <v>1000000000000</v>
      </c>
    </row>
    <row r="127" spans="1:59" ht="12.75" x14ac:dyDescent="0.2">
      <c r="A127" s="7" t="str">
        <f t="shared" ca="1" si="13"/>
        <v>112.</v>
      </c>
      <c r="B127" s="7">
        <f ca="1">OFFSET(ORÇAMENTO!C$15,ROW(B127)-ROW(B$15),0)</f>
        <v>2</v>
      </c>
      <c r="C127" s="7" t="str">
        <f ca="1">OFFSET(ORÇAMENTO!L$15,ROW(C127)-ROW(C$15),0)</f>
        <v>F</v>
      </c>
      <c r="D127" s="118" t="str">
        <f ca="1">OFFSET(ORÇAMENTO!N$15,ROW(D127)-ROW(D$15),0)</f>
        <v>Nível 2</v>
      </c>
      <c r="E127" s="119" t="str">
        <f ca="1">OFFSET(ORÇAMENTO!O$15,ROW(E127)-ROW(E$15),0)</f>
        <v>8.2.</v>
      </c>
      <c r="F127" s="172" t="str">
        <f ca="1">OFFSET(ORÇAMENTO!R$15,ROW(F127)-ROW(F$15),0)</f>
        <v>ACESSÓRIOS  E ACESSIBILIDADE</v>
      </c>
      <c r="G127" s="173" t="str">
        <f ca="1">IF($D127&lt;&gt;"Serviço","",OFFSET(ORÇAMENTO!S$15,ROW(G127)-ROW(G$15),0))</f>
        <v/>
      </c>
      <c r="H127" s="124">
        <f ca="1">IF($D127&lt;&gt;"Serviço",0,IF(ACOMPANHAMENTO="BM",ROUND(OFFSET(ORÇAMENTO!AJ$15,ROW(H127)-ROW(H$15),0),15-13*ORÇAMENTO!$AF$7),SUMPRODUCT(($Q$12:$AA$12&lt;&gt;"")*ROUND($Q127:$AA127,15-13*ORÇAMENTO!$AF$7))))</f>
        <v>0</v>
      </c>
      <c r="I127" s="561"/>
      <c r="K127" s="174"/>
      <c r="L127" s="175" t="s">
        <v>255</v>
      </c>
      <c r="M127" s="176" t="str">
        <f ca="1">IF($D127&lt;&gt;"Serviço","",IF(AUTOEVENTO="manual",$A127,IF(ISERROR(MATCH($A127,$A$15:OFFSET($A127,-1,0),0)),MAX($M$15:OFFSET(M127,-1,0))+1,INDEX($M$15:OFFSET(M127,-1,0),MATCH($A127,$A$15:OFFSET($A127,-1,0),0)))))</f>
        <v/>
      </c>
      <c r="N127" s="177" t="str">
        <f ca="1">IF($D127&lt;&gt;"Serviço","",IF(AUTOEVENTO="Manual",IF($A127=0,"&lt;-- defina o número do agrupador",OFFSET(EVENTOS!$D$14,$A127,0)),OFFSET($F$15,$A127,0)))</f>
        <v/>
      </c>
      <c r="O127" s="178"/>
      <c r="Q127" s="178"/>
      <c r="R127" s="179"/>
      <c r="S127" s="179"/>
      <c r="T127" s="179"/>
      <c r="U127" s="179"/>
      <c r="V127" s="179"/>
      <c r="W127" s="179"/>
      <c r="X127" s="179"/>
      <c r="Y127" s="179"/>
      <c r="Z127" s="180"/>
      <c r="AB127" s="544">
        <f ca="1">IF(AND($D127="Serviço",AB$12&lt;&gt;0,$H127&gt;0,OR(AUTOEVENTO&lt;&gt;"manual",$M127&lt;&gt;1)),
IF(Import.TipoArredondamento&lt;&gt;"TransfereGOV",
ROUND(OFFSET($P127,0,AB$13),15-13*ORÇAMENTO!$AF$7)/$H127*OFFSET(ORÇAMENTO!$X$15,ROW(AB127)-ROW(AB$15),0),
ROUND(ROUND(OFFSET($P127,0,AB$13),15-13*ORÇAMENTO!$AF$7)*OFFSET(ORÇAMENTO!$W$15,ROW(AB127)-ROW(AB$15),0),15-13*ORÇAMENTO!$AF$11)),0)</f>
        <v>0</v>
      </c>
      <c r="AC127" s="545">
        <f ca="1">IF(AND($D127="Serviço",AC$12&lt;&gt;0,$H127&gt;0,OR(AUTOEVENTO&lt;&gt;"manual",$M127&lt;&gt;1)),
IF(Import.TipoArredondamento&lt;&gt;"TransfereGOV",
ROUND(OFFSET($P127,0,AC$13),15-13*ORÇAMENTO!$AF$7)/$H127*OFFSET(ORÇAMENTO!$X$15,ROW(AC127)-ROW(AC$15),0),
ROUND(ROUND(OFFSET($P127,0,AC$13),15-13*ORÇAMENTO!$AF$7)*OFFSET(ORÇAMENTO!$W$15,ROW(AC127)-ROW(AC$15),0),15-13*ORÇAMENTO!$AF$11)),0)</f>
        <v>0</v>
      </c>
      <c r="AD127" s="545">
        <f ca="1">IF(AND($D127="Serviço",AD$12&lt;&gt;0,$H127&gt;0,OR(AUTOEVENTO&lt;&gt;"manual",$M127&lt;&gt;1)),
IF(Import.TipoArredondamento&lt;&gt;"TransfereGOV",
ROUND(OFFSET($P127,0,AD$13),15-13*ORÇAMENTO!$AF$7)/$H127*OFFSET(ORÇAMENTO!$X$15,ROW(AD127)-ROW(AD$15),0),
ROUND(ROUND(OFFSET($P127,0,AD$13),15-13*ORÇAMENTO!$AF$7)*OFFSET(ORÇAMENTO!$W$15,ROW(AD127)-ROW(AD$15),0),15-13*ORÇAMENTO!$AF$11)),0)</f>
        <v>0</v>
      </c>
      <c r="AE127" s="545">
        <f ca="1">IF(AND($D127="Serviço",AE$12&lt;&gt;0,$H127&gt;0,OR(AUTOEVENTO&lt;&gt;"manual",$M127&lt;&gt;1)),
IF(Import.TipoArredondamento&lt;&gt;"TransfereGOV",
ROUND(OFFSET($P127,0,AE$13),15-13*ORÇAMENTO!$AF$7)/$H127*OFFSET(ORÇAMENTO!$X$15,ROW(AE127)-ROW(AE$15),0),
ROUND(ROUND(OFFSET($P127,0,AE$13),15-13*ORÇAMENTO!$AF$7)*OFFSET(ORÇAMENTO!$W$15,ROW(AE127)-ROW(AE$15),0),15-13*ORÇAMENTO!$AF$11)),0)</f>
        <v>0</v>
      </c>
      <c r="AF127" s="545">
        <f ca="1">IF(AND($D127="Serviço",AF$12&lt;&gt;0,$H127&gt;0,OR(AUTOEVENTO&lt;&gt;"manual",$M127&lt;&gt;1)),
IF(Import.TipoArredondamento&lt;&gt;"TransfereGOV",
ROUND(OFFSET($P127,0,AF$13),15-13*ORÇAMENTO!$AF$7)/$H127*OFFSET(ORÇAMENTO!$X$15,ROW(AF127)-ROW(AF$15),0),
ROUND(ROUND(OFFSET($P127,0,AF$13),15-13*ORÇAMENTO!$AF$7)*OFFSET(ORÇAMENTO!$W$15,ROW(AF127)-ROW(AF$15),0),15-13*ORÇAMENTO!$AF$11)),0)</f>
        <v>0</v>
      </c>
      <c r="AG127" s="545">
        <f ca="1">IF(AND($D127="Serviço",AG$12&lt;&gt;0,$H127&gt;0,OR(AUTOEVENTO&lt;&gt;"manual",$M127&lt;&gt;1)),
IF(Import.TipoArredondamento&lt;&gt;"TransfereGOV",
ROUND(OFFSET($P127,0,AG$13),15-13*ORÇAMENTO!$AF$7)/$H127*OFFSET(ORÇAMENTO!$X$15,ROW(AG127)-ROW(AG$15),0),
ROUND(ROUND(OFFSET($P127,0,AG$13),15-13*ORÇAMENTO!$AF$7)*OFFSET(ORÇAMENTO!$W$15,ROW(AG127)-ROW(AG$15),0),15-13*ORÇAMENTO!$AF$11)),0)</f>
        <v>0</v>
      </c>
      <c r="AH127" s="545">
        <f ca="1">IF(AND($D127="Serviço",AH$12&lt;&gt;0,$H127&gt;0,OR(AUTOEVENTO&lt;&gt;"manual",$M127&lt;&gt;1)),
IF(Import.TipoArredondamento&lt;&gt;"TransfereGOV",
ROUND(OFFSET($P127,0,AH$13),15-13*ORÇAMENTO!$AF$7)/$H127*OFFSET(ORÇAMENTO!$X$15,ROW(AH127)-ROW(AH$15),0),
ROUND(ROUND(OFFSET($P127,0,AH$13),15-13*ORÇAMENTO!$AF$7)*OFFSET(ORÇAMENTO!$W$15,ROW(AH127)-ROW(AH$15),0),15-13*ORÇAMENTO!$AF$11)),0)</f>
        <v>0</v>
      </c>
      <c r="AI127" s="545">
        <f ca="1">IF(AND($D127="Serviço",AI$12&lt;&gt;0,$H127&gt;0,OR(AUTOEVENTO&lt;&gt;"manual",$M127&lt;&gt;1)),
IF(Import.TipoArredondamento&lt;&gt;"TransfereGOV",
ROUND(OFFSET($P127,0,AI$13),15-13*ORÇAMENTO!$AF$7)/$H127*OFFSET(ORÇAMENTO!$X$15,ROW(AI127)-ROW(AI$15),0),
ROUND(ROUND(OFFSET($P127,0,AI$13),15-13*ORÇAMENTO!$AF$7)*OFFSET(ORÇAMENTO!$W$15,ROW(AI127)-ROW(AI$15),0),15-13*ORÇAMENTO!$AF$11)),0)</f>
        <v>0</v>
      </c>
      <c r="AJ127" s="545">
        <f ca="1">IF(AND($D127="Serviço",AJ$12&lt;&gt;0,$H127&gt;0,OR(AUTOEVENTO&lt;&gt;"manual",$M127&lt;&gt;1)),
IF(Import.TipoArredondamento&lt;&gt;"TransfereGOV",
ROUND(OFFSET($P127,0,AJ$13),15-13*ORÇAMENTO!$AF$7)/$H127*OFFSET(ORÇAMENTO!$X$15,ROW(AJ127)-ROW(AJ$15),0),
ROUND(ROUND(OFFSET($P127,0,AJ$13),15-13*ORÇAMENTO!$AF$7)*OFFSET(ORÇAMENTO!$W$15,ROW(AJ127)-ROW(AJ$15),0),15-13*ORÇAMENTO!$AF$11)),0)</f>
        <v>0</v>
      </c>
      <c r="AK127" s="546">
        <f ca="1">IF(AND($D127="Serviço",AK$12&lt;&gt;0,$H127&gt;0,OR(AUTOEVENTO&lt;&gt;"manual",$M127&lt;&gt;1)),
IF(Import.TipoArredondamento&lt;&gt;"TransfereGOV",
ROUND(OFFSET($P127,0,AK$13),15-13*ORÇAMENTO!$AF$7)/$H127*OFFSET(ORÇAMENTO!$X$15,ROW(AK127)-ROW(AK$15),0),
ROUND(ROUND(OFFSET($P127,0,AK$13),15-13*ORÇAMENTO!$AF$7)*OFFSET(ORÇAMENTO!$W$15,ROW(AK127)-ROW(AK$15),0),15-13*ORÇAMENTO!$AF$11)),0)</f>
        <v>0</v>
      </c>
      <c r="AM127" s="181">
        <f ca="1">IF($D127&lt;&gt;"Serviço",0,IF(AND(AUTOEVENTO="Manual",$M127=1),0,IF(OFFSET(CRONOPLE!$F$14,$M127,AM$13)="",10^12,OFFSET(CRONOPLE!$F$14,$M127,AM$13))))</f>
        <v>0</v>
      </c>
      <c r="AN127" s="181">
        <f ca="1">IF($D127&lt;&gt;"Serviço",0,IF(AND(AUTOEVENTO="Manual",$M127=1),0,IF(OFFSET(CRONOPLE!$F$14,$M127,AN$13)="",10^12,OFFSET(CRONOPLE!$F$14,$M127,AN$13))))</f>
        <v>0</v>
      </c>
      <c r="AO127" s="181">
        <f ca="1">IF($D127&lt;&gt;"Serviço",0,IF(AND(AUTOEVENTO="Manual",$M127=1),0,IF(OFFSET(CRONOPLE!$F$14,$M127,AO$13)="",10^12,OFFSET(CRONOPLE!$F$14,$M127,AO$13))))</f>
        <v>0</v>
      </c>
      <c r="AP127" s="181">
        <f ca="1">IF($D127&lt;&gt;"Serviço",0,IF(AND(AUTOEVENTO="Manual",$M127=1),0,IF(OFFSET(CRONOPLE!$F$14,$M127,AP$13)="",10^12,OFFSET(CRONOPLE!$F$14,$M127,AP$13))))</f>
        <v>0</v>
      </c>
      <c r="AQ127" s="181">
        <f ca="1">IF($D127&lt;&gt;"Serviço",0,IF(AND(AUTOEVENTO="Manual",$M127=1),0,IF(OFFSET(CRONOPLE!$F$14,$M127,AQ$13)="",10^12,OFFSET(CRONOPLE!$F$14,$M127,AQ$13))))</f>
        <v>0</v>
      </c>
      <c r="AR127" s="181">
        <f ca="1">IF($D127&lt;&gt;"Serviço",0,IF(AND(AUTOEVENTO="Manual",$M127=1),0,IF(OFFSET(CRONOPLE!$F$14,$M127,AR$13)="",10^12,OFFSET(CRONOPLE!$F$14,$M127,AR$13))))</f>
        <v>0</v>
      </c>
      <c r="AS127" s="181">
        <f ca="1">IF($D127&lt;&gt;"Serviço",0,IF(AND(AUTOEVENTO="Manual",$M127=1),0,IF(OFFSET(CRONOPLE!$F$14,$M127,AS$13)="",10^12,OFFSET(CRONOPLE!$F$14,$M127,AS$13))))</f>
        <v>0</v>
      </c>
      <c r="AT127" s="181">
        <f ca="1">IF($D127&lt;&gt;"Serviço",0,IF(AND(AUTOEVENTO="Manual",$M127=1),0,IF(OFFSET(CRONOPLE!$F$14,$M127,AT$13)="",10^12,OFFSET(CRONOPLE!$F$14,$M127,AT$13))))</f>
        <v>0</v>
      </c>
      <c r="AU127" s="181">
        <f ca="1">IF($D127&lt;&gt;"Serviço",0,IF(AND(AUTOEVENTO="Manual",$M127=1),0,IF(OFFSET(CRONOPLE!$F$14,$M127,AU$13)="",10^12,OFFSET(CRONOPLE!$F$14,$M127,AU$13))))</f>
        <v>0</v>
      </c>
      <c r="AV127" s="181">
        <f ca="1">IF($D127&lt;&gt;"Serviço",0,IF(AND(AUTOEVENTO="Manual",$M127=1),0,IF(OFFSET(CRONOPLE!$F$14,$M127,AV$13)="",10^12,OFFSET(CRONOPLE!$F$14,$M127,AV$13))))</f>
        <v>0</v>
      </c>
      <c r="AX127" s="182">
        <f ca="1">IF($D127&lt;&gt;"Serviço",0,IF(OR(AND(AUTOEVENTO="Manual",$M127=1),$M127&gt;(ROW(PLE.lastrow)-ROW(PLE.firstrow))),0,IF(OFFSET(PLE!$G$14,$M127,AX$13)="",10^12,OFFSET(PLE!$G$14,$M127,AX$13))))</f>
        <v>0</v>
      </c>
      <c r="AY127" s="182">
        <f ca="1">IF($D127&lt;&gt;"Serviço",0,IF(OR(AND(AUTOEVENTO="Manual",$M127=1),$M127&gt;(ROW(PLE.lastrow)-ROW(PLE.firstrow))),0,IF(OFFSET(PLE!$G$14,$M127,AY$13)="",10^12,OFFSET(PLE!$G$14,$M127,AY$13))))</f>
        <v>0</v>
      </c>
      <c r="AZ127" s="182">
        <f ca="1">IF($D127&lt;&gt;"Serviço",0,IF(OR(AND(AUTOEVENTO="Manual",$M127=1),$M127&gt;(ROW(PLE.lastrow)-ROW(PLE.firstrow))),0,IF(OFFSET(PLE!$G$14,$M127,AZ$13)="",10^12,OFFSET(PLE!$G$14,$M127,AZ$13))))</f>
        <v>0</v>
      </c>
      <c r="BA127" s="182">
        <f ca="1">IF($D127&lt;&gt;"Serviço",0,IF(OR(AND(AUTOEVENTO="Manual",$M127=1),$M127&gt;(ROW(PLE.lastrow)-ROW(PLE.firstrow))),0,IF(OFFSET(PLE!$G$14,$M127,BA$13)="",10^12,OFFSET(PLE!$G$14,$M127,BA$13))))</f>
        <v>0</v>
      </c>
      <c r="BB127" s="182">
        <f ca="1">IF($D127&lt;&gt;"Serviço",0,IF(OR(AND(AUTOEVENTO="Manual",$M127=1),$M127&gt;(ROW(PLE.lastrow)-ROW(PLE.firstrow))),0,IF(OFFSET(PLE!$G$14,$M127,BB$13)="",10^12,OFFSET(PLE!$G$14,$M127,BB$13))))</f>
        <v>0</v>
      </c>
      <c r="BC127" s="182">
        <f ca="1">IF($D127&lt;&gt;"Serviço",0,IF(OR(AND(AUTOEVENTO="Manual",$M127=1),$M127&gt;(ROW(PLE.lastrow)-ROW(PLE.firstrow))),0,IF(OFFSET(PLE!$G$14,$M127,BC$13)="",10^12,OFFSET(PLE!$G$14,$M127,BC$13))))</f>
        <v>0</v>
      </c>
      <c r="BD127" s="182">
        <f ca="1">IF($D127&lt;&gt;"Serviço",0,IF(OR(AND(AUTOEVENTO="Manual",$M127=1),$M127&gt;(ROW(PLE.lastrow)-ROW(PLE.firstrow))),0,IF(OFFSET(PLE!$G$14,$M127,BD$13)="",10^12,OFFSET(PLE!$G$14,$M127,BD$13))))</f>
        <v>0</v>
      </c>
      <c r="BE127" s="182">
        <f ca="1">IF($D127&lt;&gt;"Serviço",0,IF(OR(AND(AUTOEVENTO="Manual",$M127=1),$M127&gt;(ROW(PLE.lastrow)-ROW(PLE.firstrow))),0,IF(OFFSET(PLE!$G$14,$M127,BE$13)="",10^12,OFFSET(PLE!$G$14,$M127,BE$13))))</f>
        <v>0</v>
      </c>
      <c r="BF127" s="182">
        <f ca="1">IF($D127&lt;&gt;"Serviço",0,IF(OR(AND(AUTOEVENTO="Manual",$M127=1),$M127&gt;(ROW(PLE.lastrow)-ROW(PLE.firstrow))),0,IF(OFFSET(PLE!$G$14,$M127,BF$13)="",10^12,OFFSET(PLE!$G$14,$M127,BF$13))))</f>
        <v>0</v>
      </c>
      <c r="BG127" s="182">
        <f ca="1">IF($D127&lt;&gt;"Serviço",0,IF(OR(AND(AUTOEVENTO="Manual",$M127=1),$M127&gt;(ROW(PLE.lastrow)-ROW(PLE.firstrow))),0,IF(OFFSET(PLE!$G$14,$M127,BG$13)="",10^12,OFFSET(PLE!$G$14,$M127,BG$13))))</f>
        <v>0</v>
      </c>
    </row>
    <row r="128" spans="1:59" ht="25.5" x14ac:dyDescent="0.2">
      <c r="A128" s="7" t="str">
        <f t="shared" ca="1" si="13"/>
        <v>112</v>
      </c>
      <c r="B128" s="7" t="str">
        <f ca="1">OFFSET(ORÇAMENTO!C$15,ROW(B128)-ROW(B$15),0)</f>
        <v>S</v>
      </c>
      <c r="C128" s="7" t="str">
        <f ca="1">OFFSET(ORÇAMENTO!L$15,ROW(C128)-ROW(C$15),0)</f>
        <v>F</v>
      </c>
      <c r="D128" s="118" t="str">
        <f ca="1">OFFSET(ORÇAMENTO!N$15,ROW(D128)-ROW(D$15),0)</f>
        <v>Serviço</v>
      </c>
      <c r="E128" s="119" t="str">
        <f ca="1">OFFSET(ORÇAMENTO!O$15,ROW(E128)-ROW(E$15),0)</f>
        <v>8.2.1.</v>
      </c>
      <c r="F128" s="172" t="str">
        <f ca="1">OFFSET(ORÇAMENTO!R$15,ROW(F128)-ROW(F$15),0)</f>
        <v>BACIA SANITARIA (VASO) COM CAIXA ACOPLADA, SIFAO APARENTE, DE LOUCA BRANCA (SEM ASSENTO)</v>
      </c>
      <c r="G128" s="173" t="str">
        <f ca="1">IF($D128&lt;&gt;"Serviço","",OFFSET(ORÇAMENTO!S$15,ROW(G128)-ROW(G$15),0))</f>
        <v>UN</v>
      </c>
      <c r="H128" s="124">
        <f ca="1">IF($D128&lt;&gt;"Serviço",0,IF(ACOMPANHAMENTO="BM",ROUND(OFFSET(ORÇAMENTO!AJ$15,ROW(H128)-ROW(H$15),0),15-13*ORÇAMENTO!$AF$7),SUMPRODUCT(($Q$12:$AA$12&lt;&gt;"")*ROUND($Q128:$AA128,15-13*ORÇAMENTO!$AF$7))))</f>
        <v>4</v>
      </c>
      <c r="I128" s="561"/>
      <c r="K128" s="174"/>
      <c r="L128" s="175" t="s">
        <v>255</v>
      </c>
      <c r="M128" s="176">
        <f ca="1">IF($D128&lt;&gt;"Serviço","",IF(AUTOEVENTO="manual",$A128,IF(ISERROR(MATCH($A128,$A$15:OFFSET($A128,-1,0),0)),MAX($M$15:OFFSET(M128,-1,0))+1,INDEX($M$15:OFFSET(M128,-1,0),MATCH($A128,$A$15:OFFSET($A128,-1,0),0)))))</f>
        <v>19</v>
      </c>
      <c r="N128" s="177" t="str">
        <f ca="1">IF($D128&lt;&gt;"Serviço","",IF(AUTOEVENTO="Manual",IF($A128=0,"&lt;-- defina o número do agrupador",OFFSET(EVENTOS!$D$14,$A128,0)),OFFSET($F$15,$A128,0)))</f>
        <v>ACESSÓRIOS  E ACESSIBILIDADE</v>
      </c>
      <c r="O128" s="178"/>
      <c r="Q128" s="178"/>
      <c r="R128" s="179"/>
      <c r="S128" s="179"/>
      <c r="T128" s="179"/>
      <c r="U128" s="179"/>
      <c r="V128" s="179"/>
      <c r="W128" s="179"/>
      <c r="X128" s="179"/>
      <c r="Y128" s="179"/>
      <c r="Z128" s="180"/>
      <c r="AB128" s="544">
        <f ca="1">IF(AND($D128="Serviço",AB$12&lt;&gt;0,$H128&gt;0,OR(AUTOEVENTO&lt;&gt;"manual",$M128&lt;&gt;1)),
IF(Import.TipoArredondamento&lt;&gt;"TransfereGOV",
ROUND(OFFSET($P128,0,AB$13),15-13*ORÇAMENTO!$AF$7)/$H128*OFFSET(ORÇAMENTO!$X$15,ROW(AB128)-ROW(AB$15),0),
ROUND(ROUND(OFFSET($P128,0,AB$13),15-13*ORÇAMENTO!$AF$7)*OFFSET(ORÇAMENTO!$W$15,ROW(AB128)-ROW(AB$15),0),15-13*ORÇAMENTO!$AF$11)),0)</f>
        <v>0</v>
      </c>
      <c r="AC128" s="545">
        <f ca="1">IF(AND($D128="Serviço",AC$12&lt;&gt;0,$H128&gt;0,OR(AUTOEVENTO&lt;&gt;"manual",$M128&lt;&gt;1)),
IF(Import.TipoArredondamento&lt;&gt;"TransfereGOV",
ROUND(OFFSET($P128,0,AC$13),15-13*ORÇAMENTO!$AF$7)/$H128*OFFSET(ORÇAMENTO!$X$15,ROW(AC128)-ROW(AC$15),0),
ROUND(ROUND(OFFSET($P128,0,AC$13),15-13*ORÇAMENTO!$AF$7)*OFFSET(ORÇAMENTO!$W$15,ROW(AC128)-ROW(AC$15),0),15-13*ORÇAMENTO!$AF$11)),0)</f>
        <v>0</v>
      </c>
      <c r="AD128" s="545">
        <f ca="1">IF(AND($D128="Serviço",AD$12&lt;&gt;0,$H128&gt;0,OR(AUTOEVENTO&lt;&gt;"manual",$M128&lt;&gt;1)),
IF(Import.TipoArredondamento&lt;&gt;"TransfereGOV",
ROUND(OFFSET($P128,0,AD$13),15-13*ORÇAMENTO!$AF$7)/$H128*OFFSET(ORÇAMENTO!$X$15,ROW(AD128)-ROW(AD$15),0),
ROUND(ROUND(OFFSET($P128,0,AD$13),15-13*ORÇAMENTO!$AF$7)*OFFSET(ORÇAMENTO!$W$15,ROW(AD128)-ROW(AD$15),0),15-13*ORÇAMENTO!$AF$11)),0)</f>
        <v>0</v>
      </c>
      <c r="AE128" s="545">
        <f ca="1">IF(AND($D128="Serviço",AE$12&lt;&gt;0,$H128&gt;0,OR(AUTOEVENTO&lt;&gt;"manual",$M128&lt;&gt;1)),
IF(Import.TipoArredondamento&lt;&gt;"TransfereGOV",
ROUND(OFFSET($P128,0,AE$13),15-13*ORÇAMENTO!$AF$7)/$H128*OFFSET(ORÇAMENTO!$X$15,ROW(AE128)-ROW(AE$15),0),
ROUND(ROUND(OFFSET($P128,0,AE$13),15-13*ORÇAMENTO!$AF$7)*OFFSET(ORÇAMENTO!$W$15,ROW(AE128)-ROW(AE$15),0),15-13*ORÇAMENTO!$AF$11)),0)</f>
        <v>0</v>
      </c>
      <c r="AF128" s="545">
        <f ca="1">IF(AND($D128="Serviço",AF$12&lt;&gt;0,$H128&gt;0,OR(AUTOEVENTO&lt;&gt;"manual",$M128&lt;&gt;1)),
IF(Import.TipoArredondamento&lt;&gt;"TransfereGOV",
ROUND(OFFSET($P128,0,AF$13),15-13*ORÇAMENTO!$AF$7)/$H128*OFFSET(ORÇAMENTO!$X$15,ROW(AF128)-ROW(AF$15),0),
ROUND(ROUND(OFFSET($P128,0,AF$13),15-13*ORÇAMENTO!$AF$7)*OFFSET(ORÇAMENTO!$W$15,ROW(AF128)-ROW(AF$15),0),15-13*ORÇAMENTO!$AF$11)),0)</f>
        <v>0</v>
      </c>
      <c r="AG128" s="545">
        <f ca="1">IF(AND($D128="Serviço",AG$12&lt;&gt;0,$H128&gt;0,OR(AUTOEVENTO&lt;&gt;"manual",$M128&lt;&gt;1)),
IF(Import.TipoArredondamento&lt;&gt;"TransfereGOV",
ROUND(OFFSET($P128,0,AG$13),15-13*ORÇAMENTO!$AF$7)/$H128*OFFSET(ORÇAMENTO!$X$15,ROW(AG128)-ROW(AG$15),0),
ROUND(ROUND(OFFSET($P128,0,AG$13),15-13*ORÇAMENTO!$AF$7)*OFFSET(ORÇAMENTO!$W$15,ROW(AG128)-ROW(AG$15),0),15-13*ORÇAMENTO!$AF$11)),0)</f>
        <v>0</v>
      </c>
      <c r="AH128" s="545">
        <f ca="1">IF(AND($D128="Serviço",AH$12&lt;&gt;0,$H128&gt;0,OR(AUTOEVENTO&lt;&gt;"manual",$M128&lt;&gt;1)),
IF(Import.TipoArredondamento&lt;&gt;"TransfereGOV",
ROUND(OFFSET($P128,0,AH$13),15-13*ORÇAMENTO!$AF$7)/$H128*OFFSET(ORÇAMENTO!$X$15,ROW(AH128)-ROW(AH$15),0),
ROUND(ROUND(OFFSET($P128,0,AH$13),15-13*ORÇAMENTO!$AF$7)*OFFSET(ORÇAMENTO!$W$15,ROW(AH128)-ROW(AH$15),0),15-13*ORÇAMENTO!$AF$11)),0)</f>
        <v>0</v>
      </c>
      <c r="AI128" s="545">
        <f ca="1">IF(AND($D128="Serviço",AI$12&lt;&gt;0,$H128&gt;0,OR(AUTOEVENTO&lt;&gt;"manual",$M128&lt;&gt;1)),
IF(Import.TipoArredondamento&lt;&gt;"TransfereGOV",
ROUND(OFFSET($P128,0,AI$13),15-13*ORÇAMENTO!$AF$7)/$H128*OFFSET(ORÇAMENTO!$X$15,ROW(AI128)-ROW(AI$15),0),
ROUND(ROUND(OFFSET($P128,0,AI$13),15-13*ORÇAMENTO!$AF$7)*OFFSET(ORÇAMENTO!$W$15,ROW(AI128)-ROW(AI$15),0),15-13*ORÇAMENTO!$AF$11)),0)</f>
        <v>0</v>
      </c>
      <c r="AJ128" s="545">
        <f ca="1">IF(AND($D128="Serviço",AJ$12&lt;&gt;0,$H128&gt;0,OR(AUTOEVENTO&lt;&gt;"manual",$M128&lt;&gt;1)),
IF(Import.TipoArredondamento&lt;&gt;"TransfereGOV",
ROUND(OFFSET($P128,0,AJ$13),15-13*ORÇAMENTO!$AF$7)/$H128*OFFSET(ORÇAMENTO!$X$15,ROW(AJ128)-ROW(AJ$15),0),
ROUND(ROUND(OFFSET($P128,0,AJ$13),15-13*ORÇAMENTO!$AF$7)*OFFSET(ORÇAMENTO!$W$15,ROW(AJ128)-ROW(AJ$15),0),15-13*ORÇAMENTO!$AF$11)),0)</f>
        <v>0</v>
      </c>
      <c r="AK128" s="546">
        <f ca="1">IF(AND($D128="Serviço",AK$12&lt;&gt;0,$H128&gt;0,OR(AUTOEVENTO&lt;&gt;"manual",$M128&lt;&gt;1)),
IF(Import.TipoArredondamento&lt;&gt;"TransfereGOV",
ROUND(OFFSET($P128,0,AK$13),15-13*ORÇAMENTO!$AF$7)/$H128*OFFSET(ORÇAMENTO!$X$15,ROW(AK128)-ROW(AK$15),0),
ROUND(ROUND(OFFSET($P128,0,AK$13),15-13*ORÇAMENTO!$AF$7)*OFFSET(ORÇAMENTO!$W$15,ROW(AK128)-ROW(AK$15),0),15-13*ORÇAMENTO!$AF$11)),0)</f>
        <v>0</v>
      </c>
      <c r="AM128" s="181">
        <f ca="1">IF($D128&lt;&gt;"Serviço",0,IF(AND(AUTOEVENTO="Manual",$M128=1),0,IF(OFFSET(CRONOPLE!$F$14,$M128,AM$13)="",10^12,OFFSET(CRONOPLE!$F$14,$M128,AM$13))))</f>
        <v>1000000000000</v>
      </c>
      <c r="AN128" s="181">
        <f ca="1">IF($D128&lt;&gt;"Serviço",0,IF(AND(AUTOEVENTO="Manual",$M128=1),0,IF(OFFSET(CRONOPLE!$F$14,$M128,AN$13)="",10^12,OFFSET(CRONOPLE!$F$14,$M128,AN$13))))</f>
        <v>1000000000000</v>
      </c>
      <c r="AO128" s="181">
        <f ca="1">IF($D128&lt;&gt;"Serviço",0,IF(AND(AUTOEVENTO="Manual",$M128=1),0,IF(OFFSET(CRONOPLE!$F$14,$M128,AO$13)="",10^12,OFFSET(CRONOPLE!$F$14,$M128,AO$13))))</f>
        <v>1000000000000</v>
      </c>
      <c r="AP128" s="181">
        <f ca="1">IF($D128&lt;&gt;"Serviço",0,IF(AND(AUTOEVENTO="Manual",$M128=1),0,IF(OFFSET(CRONOPLE!$F$14,$M128,AP$13)="",10^12,OFFSET(CRONOPLE!$F$14,$M128,AP$13))))</f>
        <v>1000000000000</v>
      </c>
      <c r="AQ128" s="181">
        <f ca="1">IF($D128&lt;&gt;"Serviço",0,IF(AND(AUTOEVENTO="Manual",$M128=1),0,IF(OFFSET(CRONOPLE!$F$14,$M128,AQ$13)="",10^12,OFFSET(CRONOPLE!$F$14,$M128,AQ$13))))</f>
        <v>1000000000000</v>
      </c>
      <c r="AR128" s="181">
        <f ca="1">IF($D128&lt;&gt;"Serviço",0,IF(AND(AUTOEVENTO="Manual",$M128=1),0,IF(OFFSET(CRONOPLE!$F$14,$M128,AR$13)="",10^12,OFFSET(CRONOPLE!$F$14,$M128,AR$13))))</f>
        <v>1000000000000</v>
      </c>
      <c r="AS128" s="181">
        <f ca="1">IF($D128&lt;&gt;"Serviço",0,IF(AND(AUTOEVENTO="Manual",$M128=1),0,IF(OFFSET(CRONOPLE!$F$14,$M128,AS$13)="",10^12,OFFSET(CRONOPLE!$F$14,$M128,AS$13))))</f>
        <v>1000000000000</v>
      </c>
      <c r="AT128" s="181">
        <f ca="1">IF($D128&lt;&gt;"Serviço",0,IF(AND(AUTOEVENTO="Manual",$M128=1),0,IF(OFFSET(CRONOPLE!$F$14,$M128,AT$13)="",10^12,OFFSET(CRONOPLE!$F$14,$M128,AT$13))))</f>
        <v>1000000000000</v>
      </c>
      <c r="AU128" s="181">
        <f ca="1">IF($D128&lt;&gt;"Serviço",0,IF(AND(AUTOEVENTO="Manual",$M128=1),0,IF(OFFSET(CRONOPLE!$F$14,$M128,AU$13)="",10^12,OFFSET(CRONOPLE!$F$14,$M128,AU$13))))</f>
        <v>1000000000000</v>
      </c>
      <c r="AV128" s="181">
        <f ca="1">IF($D128&lt;&gt;"Serviço",0,IF(AND(AUTOEVENTO="Manual",$M128=1),0,IF(OFFSET(CRONOPLE!$F$14,$M128,AV$13)="",10^12,OFFSET(CRONOPLE!$F$14,$M128,AV$13))))</f>
        <v>1000000000000</v>
      </c>
      <c r="AX128" s="182">
        <f ca="1">IF($D128&lt;&gt;"Serviço",0,IF(OR(AND(AUTOEVENTO="Manual",$M128=1),$M128&gt;(ROW(PLE.lastrow)-ROW(PLE.firstrow))),0,IF(OFFSET(PLE!$G$14,$M128,AX$13)="",10^12,OFFSET(PLE!$G$14,$M128,AX$13))))</f>
        <v>1000000000000</v>
      </c>
      <c r="AY128" s="182">
        <f ca="1">IF($D128&lt;&gt;"Serviço",0,IF(OR(AND(AUTOEVENTO="Manual",$M128=1),$M128&gt;(ROW(PLE.lastrow)-ROW(PLE.firstrow))),0,IF(OFFSET(PLE!$G$14,$M128,AY$13)="",10^12,OFFSET(PLE!$G$14,$M128,AY$13))))</f>
        <v>1000000000000</v>
      </c>
      <c r="AZ128" s="182">
        <f ca="1">IF($D128&lt;&gt;"Serviço",0,IF(OR(AND(AUTOEVENTO="Manual",$M128=1),$M128&gt;(ROW(PLE.lastrow)-ROW(PLE.firstrow))),0,IF(OFFSET(PLE!$G$14,$M128,AZ$13)="",10^12,OFFSET(PLE!$G$14,$M128,AZ$13))))</f>
        <v>1000000000000</v>
      </c>
      <c r="BA128" s="182">
        <f ca="1">IF($D128&lt;&gt;"Serviço",0,IF(OR(AND(AUTOEVENTO="Manual",$M128=1),$M128&gt;(ROW(PLE.lastrow)-ROW(PLE.firstrow))),0,IF(OFFSET(PLE!$G$14,$M128,BA$13)="",10^12,OFFSET(PLE!$G$14,$M128,BA$13))))</f>
        <v>1000000000000</v>
      </c>
      <c r="BB128" s="182">
        <f ca="1">IF($D128&lt;&gt;"Serviço",0,IF(OR(AND(AUTOEVENTO="Manual",$M128=1),$M128&gt;(ROW(PLE.lastrow)-ROW(PLE.firstrow))),0,IF(OFFSET(PLE!$G$14,$M128,BB$13)="",10^12,OFFSET(PLE!$G$14,$M128,BB$13))))</f>
        <v>1000000000000</v>
      </c>
      <c r="BC128" s="182">
        <f ca="1">IF($D128&lt;&gt;"Serviço",0,IF(OR(AND(AUTOEVENTO="Manual",$M128=1),$M128&gt;(ROW(PLE.lastrow)-ROW(PLE.firstrow))),0,IF(OFFSET(PLE!$G$14,$M128,BC$13)="",10^12,OFFSET(PLE!$G$14,$M128,BC$13))))</f>
        <v>1000000000000</v>
      </c>
      <c r="BD128" s="182">
        <f ca="1">IF($D128&lt;&gt;"Serviço",0,IF(OR(AND(AUTOEVENTO="Manual",$M128=1),$M128&gt;(ROW(PLE.lastrow)-ROW(PLE.firstrow))),0,IF(OFFSET(PLE!$G$14,$M128,BD$13)="",10^12,OFFSET(PLE!$G$14,$M128,BD$13))))</f>
        <v>1000000000000</v>
      </c>
      <c r="BE128" s="182">
        <f ca="1">IF($D128&lt;&gt;"Serviço",0,IF(OR(AND(AUTOEVENTO="Manual",$M128=1),$M128&gt;(ROW(PLE.lastrow)-ROW(PLE.firstrow))),0,IF(OFFSET(PLE!$G$14,$M128,BE$13)="",10^12,OFFSET(PLE!$G$14,$M128,BE$13))))</f>
        <v>1000000000000</v>
      </c>
      <c r="BF128" s="182">
        <f ca="1">IF($D128&lt;&gt;"Serviço",0,IF(OR(AND(AUTOEVENTO="Manual",$M128=1),$M128&gt;(ROW(PLE.lastrow)-ROW(PLE.firstrow))),0,IF(OFFSET(PLE!$G$14,$M128,BF$13)="",10^12,OFFSET(PLE!$G$14,$M128,BF$13))))</f>
        <v>1000000000000</v>
      </c>
      <c r="BG128" s="182">
        <f ca="1">IF($D128&lt;&gt;"Serviço",0,IF(OR(AND(AUTOEVENTO="Manual",$M128=1),$M128&gt;(ROW(PLE.lastrow)-ROW(PLE.firstrow))),0,IF(OFFSET(PLE!$G$14,$M128,BG$13)="",10^12,OFFSET(PLE!$G$14,$M128,BG$13))))</f>
        <v>1000000000000</v>
      </c>
    </row>
    <row r="129" spans="1:59" ht="25.5" x14ac:dyDescent="0.2">
      <c r="A129" s="7" t="str">
        <f t="shared" ca="1" si="13"/>
        <v>112</v>
      </c>
      <c r="B129" s="7" t="str">
        <f ca="1">OFFSET(ORÇAMENTO!C$15,ROW(B129)-ROW(B$15),0)</f>
        <v>S</v>
      </c>
      <c r="C129" s="7" t="str">
        <f ca="1">OFFSET(ORÇAMENTO!L$15,ROW(C129)-ROW(C$15),0)</f>
        <v>F</v>
      </c>
      <c r="D129" s="118" t="str">
        <f ca="1">OFFSET(ORÇAMENTO!N$15,ROW(D129)-ROW(D$15),0)</f>
        <v>Serviço</v>
      </c>
      <c r="E129" s="119" t="str">
        <f ca="1">OFFSET(ORÇAMENTO!O$15,ROW(E129)-ROW(E$15),0)</f>
        <v>8.2.2.</v>
      </c>
      <c r="F129" s="172" t="str">
        <f ca="1">OFFSET(ORÇAMENTO!R$15,ROW(F129)-ROW(F$15),0)</f>
        <v>ASSENTO SANITARIO DE PLASTICO, TIPO CONVENCIONAL</v>
      </c>
      <c r="G129" s="173" t="str">
        <f ca="1">IF($D129&lt;&gt;"Serviço","",OFFSET(ORÇAMENTO!S$15,ROW(G129)-ROW(G$15),0))</f>
        <v>UN</v>
      </c>
      <c r="H129" s="124">
        <f ca="1">IF($D129&lt;&gt;"Serviço",0,IF(ACOMPANHAMENTO="BM",ROUND(OFFSET(ORÇAMENTO!AJ$15,ROW(H129)-ROW(H$15),0),15-13*ORÇAMENTO!$AF$7),SUMPRODUCT(($Q$12:$AA$12&lt;&gt;"")*ROUND($Q129:$AA129,15-13*ORÇAMENTO!$AF$7))))</f>
        <v>4</v>
      </c>
      <c r="I129" s="561"/>
      <c r="K129" s="174"/>
      <c r="L129" s="175" t="s">
        <v>255</v>
      </c>
      <c r="M129" s="176">
        <f ca="1">IF($D129&lt;&gt;"Serviço","",IF(AUTOEVENTO="manual",$A129,IF(ISERROR(MATCH($A129,$A$15:OFFSET($A129,-1,0),0)),MAX($M$15:OFFSET(M129,-1,0))+1,INDEX($M$15:OFFSET(M129,-1,0),MATCH($A129,$A$15:OFFSET($A129,-1,0),0)))))</f>
        <v>19</v>
      </c>
      <c r="N129" s="177" t="str">
        <f ca="1">IF($D129&lt;&gt;"Serviço","",IF(AUTOEVENTO="Manual",IF($A129=0,"&lt;-- defina o número do agrupador",OFFSET(EVENTOS!$D$14,$A129,0)),OFFSET($F$15,$A129,0)))</f>
        <v>ACESSÓRIOS  E ACESSIBILIDADE</v>
      </c>
      <c r="O129" s="178"/>
      <c r="Q129" s="178"/>
      <c r="R129" s="179"/>
      <c r="S129" s="179"/>
      <c r="T129" s="179"/>
      <c r="U129" s="179"/>
      <c r="V129" s="179"/>
      <c r="W129" s="179"/>
      <c r="X129" s="179"/>
      <c r="Y129" s="179"/>
      <c r="Z129" s="180"/>
      <c r="AB129" s="544">
        <f ca="1">IF(AND($D129="Serviço",AB$12&lt;&gt;0,$H129&gt;0,OR(AUTOEVENTO&lt;&gt;"manual",$M129&lt;&gt;1)),
IF(Import.TipoArredondamento&lt;&gt;"TransfereGOV",
ROUND(OFFSET($P129,0,AB$13),15-13*ORÇAMENTO!$AF$7)/$H129*OFFSET(ORÇAMENTO!$X$15,ROW(AB129)-ROW(AB$15),0),
ROUND(ROUND(OFFSET($P129,0,AB$13),15-13*ORÇAMENTO!$AF$7)*OFFSET(ORÇAMENTO!$W$15,ROW(AB129)-ROW(AB$15),0),15-13*ORÇAMENTO!$AF$11)),0)</f>
        <v>0</v>
      </c>
      <c r="AC129" s="545">
        <f ca="1">IF(AND($D129="Serviço",AC$12&lt;&gt;0,$H129&gt;0,OR(AUTOEVENTO&lt;&gt;"manual",$M129&lt;&gt;1)),
IF(Import.TipoArredondamento&lt;&gt;"TransfereGOV",
ROUND(OFFSET($P129,0,AC$13),15-13*ORÇAMENTO!$AF$7)/$H129*OFFSET(ORÇAMENTO!$X$15,ROW(AC129)-ROW(AC$15),0),
ROUND(ROUND(OFFSET($P129,0,AC$13),15-13*ORÇAMENTO!$AF$7)*OFFSET(ORÇAMENTO!$W$15,ROW(AC129)-ROW(AC$15),0),15-13*ORÇAMENTO!$AF$11)),0)</f>
        <v>0</v>
      </c>
      <c r="AD129" s="545">
        <f ca="1">IF(AND($D129="Serviço",AD$12&lt;&gt;0,$H129&gt;0,OR(AUTOEVENTO&lt;&gt;"manual",$M129&lt;&gt;1)),
IF(Import.TipoArredondamento&lt;&gt;"TransfereGOV",
ROUND(OFFSET($P129,0,AD$13),15-13*ORÇAMENTO!$AF$7)/$H129*OFFSET(ORÇAMENTO!$X$15,ROW(AD129)-ROW(AD$15),0),
ROUND(ROUND(OFFSET($P129,0,AD$13),15-13*ORÇAMENTO!$AF$7)*OFFSET(ORÇAMENTO!$W$15,ROW(AD129)-ROW(AD$15),0),15-13*ORÇAMENTO!$AF$11)),0)</f>
        <v>0</v>
      </c>
      <c r="AE129" s="545">
        <f ca="1">IF(AND($D129="Serviço",AE$12&lt;&gt;0,$H129&gt;0,OR(AUTOEVENTO&lt;&gt;"manual",$M129&lt;&gt;1)),
IF(Import.TipoArredondamento&lt;&gt;"TransfereGOV",
ROUND(OFFSET($P129,0,AE$13),15-13*ORÇAMENTO!$AF$7)/$H129*OFFSET(ORÇAMENTO!$X$15,ROW(AE129)-ROW(AE$15),0),
ROUND(ROUND(OFFSET($P129,0,AE$13),15-13*ORÇAMENTO!$AF$7)*OFFSET(ORÇAMENTO!$W$15,ROW(AE129)-ROW(AE$15),0),15-13*ORÇAMENTO!$AF$11)),0)</f>
        <v>0</v>
      </c>
      <c r="AF129" s="545">
        <f ca="1">IF(AND($D129="Serviço",AF$12&lt;&gt;0,$H129&gt;0,OR(AUTOEVENTO&lt;&gt;"manual",$M129&lt;&gt;1)),
IF(Import.TipoArredondamento&lt;&gt;"TransfereGOV",
ROUND(OFFSET($P129,0,AF$13),15-13*ORÇAMENTO!$AF$7)/$H129*OFFSET(ORÇAMENTO!$X$15,ROW(AF129)-ROW(AF$15),0),
ROUND(ROUND(OFFSET($P129,0,AF$13),15-13*ORÇAMENTO!$AF$7)*OFFSET(ORÇAMENTO!$W$15,ROW(AF129)-ROW(AF$15),0),15-13*ORÇAMENTO!$AF$11)),0)</f>
        <v>0</v>
      </c>
      <c r="AG129" s="545">
        <f ca="1">IF(AND($D129="Serviço",AG$12&lt;&gt;0,$H129&gt;0,OR(AUTOEVENTO&lt;&gt;"manual",$M129&lt;&gt;1)),
IF(Import.TipoArredondamento&lt;&gt;"TransfereGOV",
ROUND(OFFSET($P129,0,AG$13),15-13*ORÇAMENTO!$AF$7)/$H129*OFFSET(ORÇAMENTO!$X$15,ROW(AG129)-ROW(AG$15),0),
ROUND(ROUND(OFFSET($P129,0,AG$13),15-13*ORÇAMENTO!$AF$7)*OFFSET(ORÇAMENTO!$W$15,ROW(AG129)-ROW(AG$15),0),15-13*ORÇAMENTO!$AF$11)),0)</f>
        <v>0</v>
      </c>
      <c r="AH129" s="545">
        <f ca="1">IF(AND($D129="Serviço",AH$12&lt;&gt;0,$H129&gt;0,OR(AUTOEVENTO&lt;&gt;"manual",$M129&lt;&gt;1)),
IF(Import.TipoArredondamento&lt;&gt;"TransfereGOV",
ROUND(OFFSET($P129,0,AH$13),15-13*ORÇAMENTO!$AF$7)/$H129*OFFSET(ORÇAMENTO!$X$15,ROW(AH129)-ROW(AH$15),0),
ROUND(ROUND(OFFSET($P129,0,AH$13),15-13*ORÇAMENTO!$AF$7)*OFFSET(ORÇAMENTO!$W$15,ROW(AH129)-ROW(AH$15),0),15-13*ORÇAMENTO!$AF$11)),0)</f>
        <v>0</v>
      </c>
      <c r="AI129" s="545">
        <f ca="1">IF(AND($D129="Serviço",AI$12&lt;&gt;0,$H129&gt;0,OR(AUTOEVENTO&lt;&gt;"manual",$M129&lt;&gt;1)),
IF(Import.TipoArredondamento&lt;&gt;"TransfereGOV",
ROUND(OFFSET($P129,0,AI$13),15-13*ORÇAMENTO!$AF$7)/$H129*OFFSET(ORÇAMENTO!$X$15,ROW(AI129)-ROW(AI$15),0),
ROUND(ROUND(OFFSET($P129,0,AI$13),15-13*ORÇAMENTO!$AF$7)*OFFSET(ORÇAMENTO!$W$15,ROW(AI129)-ROW(AI$15),0),15-13*ORÇAMENTO!$AF$11)),0)</f>
        <v>0</v>
      </c>
      <c r="AJ129" s="545">
        <f ca="1">IF(AND($D129="Serviço",AJ$12&lt;&gt;0,$H129&gt;0,OR(AUTOEVENTO&lt;&gt;"manual",$M129&lt;&gt;1)),
IF(Import.TipoArredondamento&lt;&gt;"TransfereGOV",
ROUND(OFFSET($P129,0,AJ$13),15-13*ORÇAMENTO!$AF$7)/$H129*OFFSET(ORÇAMENTO!$X$15,ROW(AJ129)-ROW(AJ$15),0),
ROUND(ROUND(OFFSET($P129,0,AJ$13),15-13*ORÇAMENTO!$AF$7)*OFFSET(ORÇAMENTO!$W$15,ROW(AJ129)-ROW(AJ$15),0),15-13*ORÇAMENTO!$AF$11)),0)</f>
        <v>0</v>
      </c>
      <c r="AK129" s="546">
        <f ca="1">IF(AND($D129="Serviço",AK$12&lt;&gt;0,$H129&gt;0,OR(AUTOEVENTO&lt;&gt;"manual",$M129&lt;&gt;1)),
IF(Import.TipoArredondamento&lt;&gt;"TransfereGOV",
ROUND(OFFSET($P129,0,AK$13),15-13*ORÇAMENTO!$AF$7)/$H129*OFFSET(ORÇAMENTO!$X$15,ROW(AK129)-ROW(AK$15),0),
ROUND(ROUND(OFFSET($P129,0,AK$13),15-13*ORÇAMENTO!$AF$7)*OFFSET(ORÇAMENTO!$W$15,ROW(AK129)-ROW(AK$15),0),15-13*ORÇAMENTO!$AF$11)),0)</f>
        <v>0</v>
      </c>
      <c r="AM129" s="181">
        <f ca="1">IF($D129&lt;&gt;"Serviço",0,IF(AND(AUTOEVENTO="Manual",$M129=1),0,IF(OFFSET(CRONOPLE!$F$14,$M129,AM$13)="",10^12,OFFSET(CRONOPLE!$F$14,$M129,AM$13))))</f>
        <v>1000000000000</v>
      </c>
      <c r="AN129" s="181">
        <f ca="1">IF($D129&lt;&gt;"Serviço",0,IF(AND(AUTOEVENTO="Manual",$M129=1),0,IF(OFFSET(CRONOPLE!$F$14,$M129,AN$13)="",10^12,OFFSET(CRONOPLE!$F$14,$M129,AN$13))))</f>
        <v>1000000000000</v>
      </c>
      <c r="AO129" s="181">
        <f ca="1">IF($D129&lt;&gt;"Serviço",0,IF(AND(AUTOEVENTO="Manual",$M129=1),0,IF(OFFSET(CRONOPLE!$F$14,$M129,AO$13)="",10^12,OFFSET(CRONOPLE!$F$14,$M129,AO$13))))</f>
        <v>1000000000000</v>
      </c>
      <c r="AP129" s="181">
        <f ca="1">IF($D129&lt;&gt;"Serviço",0,IF(AND(AUTOEVENTO="Manual",$M129=1),0,IF(OFFSET(CRONOPLE!$F$14,$M129,AP$13)="",10^12,OFFSET(CRONOPLE!$F$14,$M129,AP$13))))</f>
        <v>1000000000000</v>
      </c>
      <c r="AQ129" s="181">
        <f ca="1">IF($D129&lt;&gt;"Serviço",0,IF(AND(AUTOEVENTO="Manual",$M129=1),0,IF(OFFSET(CRONOPLE!$F$14,$M129,AQ$13)="",10^12,OFFSET(CRONOPLE!$F$14,$M129,AQ$13))))</f>
        <v>1000000000000</v>
      </c>
      <c r="AR129" s="181">
        <f ca="1">IF($D129&lt;&gt;"Serviço",0,IF(AND(AUTOEVENTO="Manual",$M129=1),0,IF(OFFSET(CRONOPLE!$F$14,$M129,AR$13)="",10^12,OFFSET(CRONOPLE!$F$14,$M129,AR$13))))</f>
        <v>1000000000000</v>
      </c>
      <c r="AS129" s="181">
        <f ca="1">IF($D129&lt;&gt;"Serviço",0,IF(AND(AUTOEVENTO="Manual",$M129=1),0,IF(OFFSET(CRONOPLE!$F$14,$M129,AS$13)="",10^12,OFFSET(CRONOPLE!$F$14,$M129,AS$13))))</f>
        <v>1000000000000</v>
      </c>
      <c r="AT129" s="181">
        <f ca="1">IF($D129&lt;&gt;"Serviço",0,IF(AND(AUTOEVENTO="Manual",$M129=1),0,IF(OFFSET(CRONOPLE!$F$14,$M129,AT$13)="",10^12,OFFSET(CRONOPLE!$F$14,$M129,AT$13))))</f>
        <v>1000000000000</v>
      </c>
      <c r="AU129" s="181">
        <f ca="1">IF($D129&lt;&gt;"Serviço",0,IF(AND(AUTOEVENTO="Manual",$M129=1),0,IF(OFFSET(CRONOPLE!$F$14,$M129,AU$13)="",10^12,OFFSET(CRONOPLE!$F$14,$M129,AU$13))))</f>
        <v>1000000000000</v>
      </c>
      <c r="AV129" s="181">
        <f ca="1">IF($D129&lt;&gt;"Serviço",0,IF(AND(AUTOEVENTO="Manual",$M129=1),0,IF(OFFSET(CRONOPLE!$F$14,$M129,AV$13)="",10^12,OFFSET(CRONOPLE!$F$14,$M129,AV$13))))</f>
        <v>1000000000000</v>
      </c>
      <c r="AX129" s="182">
        <f ca="1">IF($D129&lt;&gt;"Serviço",0,IF(OR(AND(AUTOEVENTO="Manual",$M129=1),$M129&gt;(ROW(PLE.lastrow)-ROW(PLE.firstrow))),0,IF(OFFSET(PLE!$G$14,$M129,AX$13)="",10^12,OFFSET(PLE!$G$14,$M129,AX$13))))</f>
        <v>1000000000000</v>
      </c>
      <c r="AY129" s="182">
        <f ca="1">IF($D129&lt;&gt;"Serviço",0,IF(OR(AND(AUTOEVENTO="Manual",$M129=1),$M129&gt;(ROW(PLE.lastrow)-ROW(PLE.firstrow))),0,IF(OFFSET(PLE!$G$14,$M129,AY$13)="",10^12,OFFSET(PLE!$G$14,$M129,AY$13))))</f>
        <v>1000000000000</v>
      </c>
      <c r="AZ129" s="182">
        <f ca="1">IF($D129&lt;&gt;"Serviço",0,IF(OR(AND(AUTOEVENTO="Manual",$M129=1),$M129&gt;(ROW(PLE.lastrow)-ROW(PLE.firstrow))),0,IF(OFFSET(PLE!$G$14,$M129,AZ$13)="",10^12,OFFSET(PLE!$G$14,$M129,AZ$13))))</f>
        <v>1000000000000</v>
      </c>
      <c r="BA129" s="182">
        <f ca="1">IF($D129&lt;&gt;"Serviço",0,IF(OR(AND(AUTOEVENTO="Manual",$M129=1),$M129&gt;(ROW(PLE.lastrow)-ROW(PLE.firstrow))),0,IF(OFFSET(PLE!$G$14,$M129,BA$13)="",10^12,OFFSET(PLE!$G$14,$M129,BA$13))))</f>
        <v>1000000000000</v>
      </c>
      <c r="BB129" s="182">
        <f ca="1">IF($D129&lt;&gt;"Serviço",0,IF(OR(AND(AUTOEVENTO="Manual",$M129=1),$M129&gt;(ROW(PLE.lastrow)-ROW(PLE.firstrow))),0,IF(OFFSET(PLE!$G$14,$M129,BB$13)="",10^12,OFFSET(PLE!$G$14,$M129,BB$13))))</f>
        <v>1000000000000</v>
      </c>
      <c r="BC129" s="182">
        <f ca="1">IF($D129&lt;&gt;"Serviço",0,IF(OR(AND(AUTOEVENTO="Manual",$M129=1),$M129&gt;(ROW(PLE.lastrow)-ROW(PLE.firstrow))),0,IF(OFFSET(PLE!$G$14,$M129,BC$13)="",10^12,OFFSET(PLE!$G$14,$M129,BC$13))))</f>
        <v>1000000000000</v>
      </c>
      <c r="BD129" s="182">
        <f ca="1">IF($D129&lt;&gt;"Serviço",0,IF(OR(AND(AUTOEVENTO="Manual",$M129=1),$M129&gt;(ROW(PLE.lastrow)-ROW(PLE.firstrow))),0,IF(OFFSET(PLE!$G$14,$M129,BD$13)="",10^12,OFFSET(PLE!$G$14,$M129,BD$13))))</f>
        <v>1000000000000</v>
      </c>
      <c r="BE129" s="182">
        <f ca="1">IF($D129&lt;&gt;"Serviço",0,IF(OR(AND(AUTOEVENTO="Manual",$M129=1),$M129&gt;(ROW(PLE.lastrow)-ROW(PLE.firstrow))),0,IF(OFFSET(PLE!$G$14,$M129,BE$13)="",10^12,OFFSET(PLE!$G$14,$M129,BE$13))))</f>
        <v>1000000000000</v>
      </c>
      <c r="BF129" s="182">
        <f ca="1">IF($D129&lt;&gt;"Serviço",0,IF(OR(AND(AUTOEVENTO="Manual",$M129=1),$M129&gt;(ROW(PLE.lastrow)-ROW(PLE.firstrow))),0,IF(OFFSET(PLE!$G$14,$M129,BF$13)="",10^12,OFFSET(PLE!$G$14,$M129,BF$13))))</f>
        <v>1000000000000</v>
      </c>
      <c r="BG129" s="182">
        <f ca="1">IF($D129&lt;&gt;"Serviço",0,IF(OR(AND(AUTOEVENTO="Manual",$M129=1),$M129&gt;(ROW(PLE.lastrow)-ROW(PLE.firstrow))),0,IF(OFFSET(PLE!$G$14,$M129,BG$13)="",10^12,OFFSET(PLE!$G$14,$M129,BG$13))))</f>
        <v>1000000000000</v>
      </c>
    </row>
    <row r="130" spans="1:59" ht="25.5" x14ac:dyDescent="0.2">
      <c r="A130" s="7" t="str">
        <f t="shared" ca="1" si="13"/>
        <v>112</v>
      </c>
      <c r="B130" s="7" t="str">
        <f ca="1">OFFSET(ORÇAMENTO!C$15,ROW(B130)-ROW(B$15),0)</f>
        <v>S</v>
      </c>
      <c r="C130" s="7" t="str">
        <f ca="1">OFFSET(ORÇAMENTO!L$15,ROW(C130)-ROW(C$15),0)</f>
        <v>F</v>
      </c>
      <c r="D130" s="118" t="str">
        <f ca="1">OFFSET(ORÇAMENTO!N$15,ROW(D130)-ROW(D$15),0)</f>
        <v>Serviço</v>
      </c>
      <c r="E130" s="119" t="str">
        <f ca="1">OFFSET(ORÇAMENTO!O$15,ROW(E130)-ROW(E$15),0)</f>
        <v>8.2.3.</v>
      </c>
      <c r="F130" s="172" t="str">
        <f ca="1">OFFSET(ORÇAMENTO!R$15,ROW(F130)-ROW(F$15),0)</f>
        <v>LAVATORIO DE CANTO DE LOUCA BRANCA, SUSPENSO (SEM COLUNA), DIMENSOES *40 X 30* CM (L X C)</v>
      </c>
      <c r="G130" s="173" t="str">
        <f ca="1">IF($D130&lt;&gt;"Serviço","",OFFSET(ORÇAMENTO!S$15,ROW(G130)-ROW(G$15),0))</f>
        <v>UN</v>
      </c>
      <c r="H130" s="124">
        <f ca="1">IF($D130&lt;&gt;"Serviço",0,IF(ACOMPANHAMENTO="BM",ROUND(OFFSET(ORÇAMENTO!AJ$15,ROW(H130)-ROW(H$15),0),15-13*ORÇAMENTO!$AF$7),SUMPRODUCT(($Q$12:$AA$12&lt;&gt;"")*ROUND($Q130:$AA130,15-13*ORÇAMENTO!$AF$7))))</f>
        <v>4</v>
      </c>
      <c r="I130" s="561"/>
      <c r="K130" s="174"/>
      <c r="L130" s="175" t="s">
        <v>255</v>
      </c>
      <c r="M130" s="176">
        <f ca="1">IF($D130&lt;&gt;"Serviço","",IF(AUTOEVENTO="manual",$A130,IF(ISERROR(MATCH($A130,$A$15:OFFSET($A130,-1,0),0)),MAX($M$15:OFFSET(M130,-1,0))+1,INDEX($M$15:OFFSET(M130,-1,0),MATCH($A130,$A$15:OFFSET($A130,-1,0),0)))))</f>
        <v>19</v>
      </c>
      <c r="N130" s="177" t="str">
        <f ca="1">IF($D130&lt;&gt;"Serviço","",IF(AUTOEVENTO="Manual",IF($A130=0,"&lt;-- defina o número do agrupador",OFFSET(EVENTOS!$D$14,$A130,0)),OFFSET($F$15,$A130,0)))</f>
        <v>ACESSÓRIOS  E ACESSIBILIDADE</v>
      </c>
      <c r="O130" s="178"/>
      <c r="Q130" s="178"/>
      <c r="R130" s="179"/>
      <c r="S130" s="179"/>
      <c r="T130" s="179"/>
      <c r="U130" s="179"/>
      <c r="V130" s="179"/>
      <c r="W130" s="179"/>
      <c r="X130" s="179"/>
      <c r="Y130" s="179"/>
      <c r="Z130" s="180"/>
      <c r="AB130" s="544">
        <f ca="1">IF(AND($D130="Serviço",AB$12&lt;&gt;0,$H130&gt;0,OR(AUTOEVENTO&lt;&gt;"manual",$M130&lt;&gt;1)),
IF(Import.TipoArredondamento&lt;&gt;"TransfereGOV",
ROUND(OFFSET($P130,0,AB$13),15-13*ORÇAMENTO!$AF$7)/$H130*OFFSET(ORÇAMENTO!$X$15,ROW(AB130)-ROW(AB$15),0),
ROUND(ROUND(OFFSET($P130,0,AB$13),15-13*ORÇAMENTO!$AF$7)*OFFSET(ORÇAMENTO!$W$15,ROW(AB130)-ROW(AB$15),0),15-13*ORÇAMENTO!$AF$11)),0)</f>
        <v>0</v>
      </c>
      <c r="AC130" s="545">
        <f ca="1">IF(AND($D130="Serviço",AC$12&lt;&gt;0,$H130&gt;0,OR(AUTOEVENTO&lt;&gt;"manual",$M130&lt;&gt;1)),
IF(Import.TipoArredondamento&lt;&gt;"TransfereGOV",
ROUND(OFFSET($P130,0,AC$13),15-13*ORÇAMENTO!$AF$7)/$H130*OFFSET(ORÇAMENTO!$X$15,ROW(AC130)-ROW(AC$15),0),
ROUND(ROUND(OFFSET($P130,0,AC$13),15-13*ORÇAMENTO!$AF$7)*OFFSET(ORÇAMENTO!$W$15,ROW(AC130)-ROW(AC$15),0),15-13*ORÇAMENTO!$AF$11)),0)</f>
        <v>0</v>
      </c>
      <c r="AD130" s="545">
        <f ca="1">IF(AND($D130="Serviço",AD$12&lt;&gt;0,$H130&gt;0,OR(AUTOEVENTO&lt;&gt;"manual",$M130&lt;&gt;1)),
IF(Import.TipoArredondamento&lt;&gt;"TransfereGOV",
ROUND(OFFSET($P130,0,AD$13),15-13*ORÇAMENTO!$AF$7)/$H130*OFFSET(ORÇAMENTO!$X$15,ROW(AD130)-ROW(AD$15),0),
ROUND(ROUND(OFFSET($P130,0,AD$13),15-13*ORÇAMENTO!$AF$7)*OFFSET(ORÇAMENTO!$W$15,ROW(AD130)-ROW(AD$15),0),15-13*ORÇAMENTO!$AF$11)),0)</f>
        <v>0</v>
      </c>
      <c r="AE130" s="545">
        <f ca="1">IF(AND($D130="Serviço",AE$12&lt;&gt;0,$H130&gt;0,OR(AUTOEVENTO&lt;&gt;"manual",$M130&lt;&gt;1)),
IF(Import.TipoArredondamento&lt;&gt;"TransfereGOV",
ROUND(OFFSET($P130,0,AE$13),15-13*ORÇAMENTO!$AF$7)/$H130*OFFSET(ORÇAMENTO!$X$15,ROW(AE130)-ROW(AE$15),0),
ROUND(ROUND(OFFSET($P130,0,AE$13),15-13*ORÇAMENTO!$AF$7)*OFFSET(ORÇAMENTO!$W$15,ROW(AE130)-ROW(AE$15),0),15-13*ORÇAMENTO!$AF$11)),0)</f>
        <v>0</v>
      </c>
      <c r="AF130" s="545">
        <f ca="1">IF(AND($D130="Serviço",AF$12&lt;&gt;0,$H130&gt;0,OR(AUTOEVENTO&lt;&gt;"manual",$M130&lt;&gt;1)),
IF(Import.TipoArredondamento&lt;&gt;"TransfereGOV",
ROUND(OFFSET($P130,0,AF$13),15-13*ORÇAMENTO!$AF$7)/$H130*OFFSET(ORÇAMENTO!$X$15,ROW(AF130)-ROW(AF$15),0),
ROUND(ROUND(OFFSET($P130,0,AF$13),15-13*ORÇAMENTO!$AF$7)*OFFSET(ORÇAMENTO!$W$15,ROW(AF130)-ROW(AF$15),0),15-13*ORÇAMENTO!$AF$11)),0)</f>
        <v>0</v>
      </c>
      <c r="AG130" s="545">
        <f ca="1">IF(AND($D130="Serviço",AG$12&lt;&gt;0,$H130&gt;0,OR(AUTOEVENTO&lt;&gt;"manual",$M130&lt;&gt;1)),
IF(Import.TipoArredondamento&lt;&gt;"TransfereGOV",
ROUND(OFFSET($P130,0,AG$13),15-13*ORÇAMENTO!$AF$7)/$H130*OFFSET(ORÇAMENTO!$X$15,ROW(AG130)-ROW(AG$15),0),
ROUND(ROUND(OFFSET($P130,0,AG$13),15-13*ORÇAMENTO!$AF$7)*OFFSET(ORÇAMENTO!$W$15,ROW(AG130)-ROW(AG$15),0),15-13*ORÇAMENTO!$AF$11)),0)</f>
        <v>0</v>
      </c>
      <c r="AH130" s="545">
        <f ca="1">IF(AND($D130="Serviço",AH$12&lt;&gt;0,$H130&gt;0,OR(AUTOEVENTO&lt;&gt;"manual",$M130&lt;&gt;1)),
IF(Import.TipoArredondamento&lt;&gt;"TransfereGOV",
ROUND(OFFSET($P130,0,AH$13),15-13*ORÇAMENTO!$AF$7)/$H130*OFFSET(ORÇAMENTO!$X$15,ROW(AH130)-ROW(AH$15),0),
ROUND(ROUND(OFFSET($P130,0,AH$13),15-13*ORÇAMENTO!$AF$7)*OFFSET(ORÇAMENTO!$W$15,ROW(AH130)-ROW(AH$15),0),15-13*ORÇAMENTO!$AF$11)),0)</f>
        <v>0</v>
      </c>
      <c r="AI130" s="545">
        <f ca="1">IF(AND($D130="Serviço",AI$12&lt;&gt;0,$H130&gt;0,OR(AUTOEVENTO&lt;&gt;"manual",$M130&lt;&gt;1)),
IF(Import.TipoArredondamento&lt;&gt;"TransfereGOV",
ROUND(OFFSET($P130,0,AI$13),15-13*ORÇAMENTO!$AF$7)/$H130*OFFSET(ORÇAMENTO!$X$15,ROW(AI130)-ROW(AI$15),0),
ROUND(ROUND(OFFSET($P130,0,AI$13),15-13*ORÇAMENTO!$AF$7)*OFFSET(ORÇAMENTO!$W$15,ROW(AI130)-ROW(AI$15),0),15-13*ORÇAMENTO!$AF$11)),0)</f>
        <v>0</v>
      </c>
      <c r="AJ130" s="545">
        <f ca="1">IF(AND($D130="Serviço",AJ$12&lt;&gt;0,$H130&gt;0,OR(AUTOEVENTO&lt;&gt;"manual",$M130&lt;&gt;1)),
IF(Import.TipoArredondamento&lt;&gt;"TransfereGOV",
ROUND(OFFSET($P130,0,AJ$13),15-13*ORÇAMENTO!$AF$7)/$H130*OFFSET(ORÇAMENTO!$X$15,ROW(AJ130)-ROW(AJ$15),0),
ROUND(ROUND(OFFSET($P130,0,AJ$13),15-13*ORÇAMENTO!$AF$7)*OFFSET(ORÇAMENTO!$W$15,ROW(AJ130)-ROW(AJ$15),0),15-13*ORÇAMENTO!$AF$11)),0)</f>
        <v>0</v>
      </c>
      <c r="AK130" s="546">
        <f ca="1">IF(AND($D130="Serviço",AK$12&lt;&gt;0,$H130&gt;0,OR(AUTOEVENTO&lt;&gt;"manual",$M130&lt;&gt;1)),
IF(Import.TipoArredondamento&lt;&gt;"TransfereGOV",
ROUND(OFFSET($P130,0,AK$13),15-13*ORÇAMENTO!$AF$7)/$H130*OFFSET(ORÇAMENTO!$X$15,ROW(AK130)-ROW(AK$15),0),
ROUND(ROUND(OFFSET($P130,0,AK$13),15-13*ORÇAMENTO!$AF$7)*OFFSET(ORÇAMENTO!$W$15,ROW(AK130)-ROW(AK$15),0),15-13*ORÇAMENTO!$AF$11)),0)</f>
        <v>0</v>
      </c>
      <c r="AM130" s="181">
        <f ca="1">IF($D130&lt;&gt;"Serviço",0,IF(AND(AUTOEVENTO="Manual",$M130=1),0,IF(OFFSET(CRONOPLE!$F$14,$M130,AM$13)="",10^12,OFFSET(CRONOPLE!$F$14,$M130,AM$13))))</f>
        <v>1000000000000</v>
      </c>
      <c r="AN130" s="181">
        <f ca="1">IF($D130&lt;&gt;"Serviço",0,IF(AND(AUTOEVENTO="Manual",$M130=1),0,IF(OFFSET(CRONOPLE!$F$14,$M130,AN$13)="",10^12,OFFSET(CRONOPLE!$F$14,$M130,AN$13))))</f>
        <v>1000000000000</v>
      </c>
      <c r="AO130" s="181">
        <f ca="1">IF($D130&lt;&gt;"Serviço",0,IF(AND(AUTOEVENTO="Manual",$M130=1),0,IF(OFFSET(CRONOPLE!$F$14,$M130,AO$13)="",10^12,OFFSET(CRONOPLE!$F$14,$M130,AO$13))))</f>
        <v>1000000000000</v>
      </c>
      <c r="AP130" s="181">
        <f ca="1">IF($D130&lt;&gt;"Serviço",0,IF(AND(AUTOEVENTO="Manual",$M130=1),0,IF(OFFSET(CRONOPLE!$F$14,$M130,AP$13)="",10^12,OFFSET(CRONOPLE!$F$14,$M130,AP$13))))</f>
        <v>1000000000000</v>
      </c>
      <c r="AQ130" s="181">
        <f ca="1">IF($D130&lt;&gt;"Serviço",0,IF(AND(AUTOEVENTO="Manual",$M130=1),0,IF(OFFSET(CRONOPLE!$F$14,$M130,AQ$13)="",10^12,OFFSET(CRONOPLE!$F$14,$M130,AQ$13))))</f>
        <v>1000000000000</v>
      </c>
      <c r="AR130" s="181">
        <f ca="1">IF($D130&lt;&gt;"Serviço",0,IF(AND(AUTOEVENTO="Manual",$M130=1),0,IF(OFFSET(CRONOPLE!$F$14,$M130,AR$13)="",10^12,OFFSET(CRONOPLE!$F$14,$M130,AR$13))))</f>
        <v>1000000000000</v>
      </c>
      <c r="AS130" s="181">
        <f ca="1">IF($D130&lt;&gt;"Serviço",0,IF(AND(AUTOEVENTO="Manual",$M130=1),0,IF(OFFSET(CRONOPLE!$F$14,$M130,AS$13)="",10^12,OFFSET(CRONOPLE!$F$14,$M130,AS$13))))</f>
        <v>1000000000000</v>
      </c>
      <c r="AT130" s="181">
        <f ca="1">IF($D130&lt;&gt;"Serviço",0,IF(AND(AUTOEVENTO="Manual",$M130=1),0,IF(OFFSET(CRONOPLE!$F$14,$M130,AT$13)="",10^12,OFFSET(CRONOPLE!$F$14,$M130,AT$13))))</f>
        <v>1000000000000</v>
      </c>
      <c r="AU130" s="181">
        <f ca="1">IF($D130&lt;&gt;"Serviço",0,IF(AND(AUTOEVENTO="Manual",$M130=1),0,IF(OFFSET(CRONOPLE!$F$14,$M130,AU$13)="",10^12,OFFSET(CRONOPLE!$F$14,$M130,AU$13))))</f>
        <v>1000000000000</v>
      </c>
      <c r="AV130" s="181">
        <f ca="1">IF($D130&lt;&gt;"Serviço",0,IF(AND(AUTOEVENTO="Manual",$M130=1),0,IF(OFFSET(CRONOPLE!$F$14,$M130,AV$13)="",10^12,OFFSET(CRONOPLE!$F$14,$M130,AV$13))))</f>
        <v>1000000000000</v>
      </c>
      <c r="AX130" s="182">
        <f ca="1">IF($D130&lt;&gt;"Serviço",0,IF(OR(AND(AUTOEVENTO="Manual",$M130=1),$M130&gt;(ROW(PLE.lastrow)-ROW(PLE.firstrow))),0,IF(OFFSET(PLE!$G$14,$M130,AX$13)="",10^12,OFFSET(PLE!$G$14,$M130,AX$13))))</f>
        <v>1000000000000</v>
      </c>
      <c r="AY130" s="182">
        <f ca="1">IF($D130&lt;&gt;"Serviço",0,IF(OR(AND(AUTOEVENTO="Manual",$M130=1),$M130&gt;(ROW(PLE.lastrow)-ROW(PLE.firstrow))),0,IF(OFFSET(PLE!$G$14,$M130,AY$13)="",10^12,OFFSET(PLE!$G$14,$M130,AY$13))))</f>
        <v>1000000000000</v>
      </c>
      <c r="AZ130" s="182">
        <f ca="1">IF($D130&lt;&gt;"Serviço",0,IF(OR(AND(AUTOEVENTO="Manual",$M130=1),$M130&gt;(ROW(PLE.lastrow)-ROW(PLE.firstrow))),0,IF(OFFSET(PLE!$G$14,$M130,AZ$13)="",10^12,OFFSET(PLE!$G$14,$M130,AZ$13))))</f>
        <v>1000000000000</v>
      </c>
      <c r="BA130" s="182">
        <f ca="1">IF($D130&lt;&gt;"Serviço",0,IF(OR(AND(AUTOEVENTO="Manual",$M130=1),$M130&gt;(ROW(PLE.lastrow)-ROW(PLE.firstrow))),0,IF(OFFSET(PLE!$G$14,$M130,BA$13)="",10^12,OFFSET(PLE!$G$14,$M130,BA$13))))</f>
        <v>1000000000000</v>
      </c>
      <c r="BB130" s="182">
        <f ca="1">IF($D130&lt;&gt;"Serviço",0,IF(OR(AND(AUTOEVENTO="Manual",$M130=1),$M130&gt;(ROW(PLE.lastrow)-ROW(PLE.firstrow))),0,IF(OFFSET(PLE!$G$14,$M130,BB$13)="",10^12,OFFSET(PLE!$G$14,$M130,BB$13))))</f>
        <v>1000000000000</v>
      </c>
      <c r="BC130" s="182">
        <f ca="1">IF($D130&lt;&gt;"Serviço",0,IF(OR(AND(AUTOEVENTO="Manual",$M130=1),$M130&gt;(ROW(PLE.lastrow)-ROW(PLE.firstrow))),0,IF(OFFSET(PLE!$G$14,$M130,BC$13)="",10^12,OFFSET(PLE!$G$14,$M130,BC$13))))</f>
        <v>1000000000000</v>
      </c>
      <c r="BD130" s="182">
        <f ca="1">IF($D130&lt;&gt;"Serviço",0,IF(OR(AND(AUTOEVENTO="Manual",$M130=1),$M130&gt;(ROW(PLE.lastrow)-ROW(PLE.firstrow))),0,IF(OFFSET(PLE!$G$14,$M130,BD$13)="",10^12,OFFSET(PLE!$G$14,$M130,BD$13))))</f>
        <v>1000000000000</v>
      </c>
      <c r="BE130" s="182">
        <f ca="1">IF($D130&lt;&gt;"Serviço",0,IF(OR(AND(AUTOEVENTO="Manual",$M130=1),$M130&gt;(ROW(PLE.lastrow)-ROW(PLE.firstrow))),0,IF(OFFSET(PLE!$G$14,$M130,BE$13)="",10^12,OFFSET(PLE!$G$14,$M130,BE$13))))</f>
        <v>1000000000000</v>
      </c>
      <c r="BF130" s="182">
        <f ca="1">IF($D130&lt;&gt;"Serviço",0,IF(OR(AND(AUTOEVENTO="Manual",$M130=1),$M130&gt;(ROW(PLE.lastrow)-ROW(PLE.firstrow))),0,IF(OFFSET(PLE!$G$14,$M130,BF$13)="",10^12,OFFSET(PLE!$G$14,$M130,BF$13))))</f>
        <v>1000000000000</v>
      </c>
      <c r="BG130" s="182">
        <f ca="1">IF($D130&lt;&gt;"Serviço",0,IF(OR(AND(AUTOEVENTO="Manual",$M130=1),$M130&gt;(ROW(PLE.lastrow)-ROW(PLE.firstrow))),0,IF(OFFSET(PLE!$G$14,$M130,BG$13)="",10^12,OFFSET(PLE!$G$14,$M130,BG$13))))</f>
        <v>1000000000000</v>
      </c>
    </row>
    <row r="131" spans="1:59" ht="25.5" x14ac:dyDescent="0.2">
      <c r="A131" s="7" t="str">
        <f t="shared" ca="1" si="13"/>
        <v>112</v>
      </c>
      <c r="B131" s="7" t="str">
        <f ca="1">OFFSET(ORÇAMENTO!C$15,ROW(B131)-ROW(B$15),0)</f>
        <v>S</v>
      </c>
      <c r="C131" s="7" t="str">
        <f ca="1">OFFSET(ORÇAMENTO!L$15,ROW(C131)-ROW(C$15),0)</f>
        <v>F</v>
      </c>
      <c r="D131" s="118" t="str">
        <f ca="1">OFFSET(ORÇAMENTO!N$15,ROW(D131)-ROW(D$15),0)</f>
        <v>Serviço</v>
      </c>
      <c r="E131" s="119" t="str">
        <f ca="1">OFFSET(ORÇAMENTO!O$15,ROW(E131)-ROW(E$15),0)</f>
        <v>8.2.4.</v>
      </c>
      <c r="F131" s="172" t="str">
        <f ca="1">OFFSET(ORÇAMENTO!R$15,ROW(F131)-ROW(F$15),0)</f>
        <v>TORNEIRA CROMADA DE MESA, 1/2" OU 3/4", PARA LAVATÓRIO, PADRÃO MÉDIO - FORNECIMENTO E INSTALAÇÃO. AF_02/2026</v>
      </c>
      <c r="G131" s="173" t="str">
        <f ca="1">IF($D131&lt;&gt;"Serviço","",OFFSET(ORÇAMENTO!S$15,ROW(G131)-ROW(G$15),0))</f>
        <v>UN</v>
      </c>
      <c r="H131" s="124">
        <f ca="1">IF($D131&lt;&gt;"Serviço",0,IF(ACOMPANHAMENTO="BM",ROUND(OFFSET(ORÇAMENTO!AJ$15,ROW(H131)-ROW(H$15),0),15-13*ORÇAMENTO!$AF$7),SUMPRODUCT(($Q$12:$AA$12&lt;&gt;"")*ROUND($Q131:$AA131,15-13*ORÇAMENTO!$AF$7))))</f>
        <v>4</v>
      </c>
      <c r="I131" s="561"/>
      <c r="K131" s="174"/>
      <c r="L131" s="175" t="s">
        <v>255</v>
      </c>
      <c r="M131" s="176">
        <f ca="1">IF($D131&lt;&gt;"Serviço","",IF(AUTOEVENTO="manual",$A131,IF(ISERROR(MATCH($A131,$A$15:OFFSET($A131,-1,0),0)),MAX($M$15:OFFSET(M131,-1,0))+1,INDEX($M$15:OFFSET(M131,-1,0),MATCH($A131,$A$15:OFFSET($A131,-1,0),0)))))</f>
        <v>19</v>
      </c>
      <c r="N131" s="177" t="str">
        <f ca="1">IF($D131&lt;&gt;"Serviço","",IF(AUTOEVENTO="Manual",IF($A131=0,"&lt;-- defina o número do agrupador",OFFSET(EVENTOS!$D$14,$A131,0)),OFFSET($F$15,$A131,0)))</f>
        <v>ACESSÓRIOS  E ACESSIBILIDADE</v>
      </c>
      <c r="O131" s="178"/>
      <c r="Q131" s="178"/>
      <c r="R131" s="179"/>
      <c r="S131" s="179"/>
      <c r="T131" s="179"/>
      <c r="U131" s="179"/>
      <c r="V131" s="179"/>
      <c r="W131" s="179"/>
      <c r="X131" s="179"/>
      <c r="Y131" s="179"/>
      <c r="Z131" s="180"/>
      <c r="AB131" s="544">
        <f ca="1">IF(AND($D131="Serviço",AB$12&lt;&gt;0,$H131&gt;0,OR(AUTOEVENTO&lt;&gt;"manual",$M131&lt;&gt;1)),
IF(Import.TipoArredondamento&lt;&gt;"TransfereGOV",
ROUND(OFFSET($P131,0,AB$13),15-13*ORÇAMENTO!$AF$7)/$H131*OFFSET(ORÇAMENTO!$X$15,ROW(AB131)-ROW(AB$15),0),
ROUND(ROUND(OFFSET($P131,0,AB$13),15-13*ORÇAMENTO!$AF$7)*OFFSET(ORÇAMENTO!$W$15,ROW(AB131)-ROW(AB$15),0),15-13*ORÇAMENTO!$AF$11)),0)</f>
        <v>0</v>
      </c>
      <c r="AC131" s="545">
        <f ca="1">IF(AND($D131="Serviço",AC$12&lt;&gt;0,$H131&gt;0,OR(AUTOEVENTO&lt;&gt;"manual",$M131&lt;&gt;1)),
IF(Import.TipoArredondamento&lt;&gt;"TransfereGOV",
ROUND(OFFSET($P131,0,AC$13),15-13*ORÇAMENTO!$AF$7)/$H131*OFFSET(ORÇAMENTO!$X$15,ROW(AC131)-ROW(AC$15),0),
ROUND(ROUND(OFFSET($P131,0,AC$13),15-13*ORÇAMENTO!$AF$7)*OFFSET(ORÇAMENTO!$W$15,ROW(AC131)-ROW(AC$15),0),15-13*ORÇAMENTO!$AF$11)),0)</f>
        <v>0</v>
      </c>
      <c r="AD131" s="545">
        <f ca="1">IF(AND($D131="Serviço",AD$12&lt;&gt;0,$H131&gt;0,OR(AUTOEVENTO&lt;&gt;"manual",$M131&lt;&gt;1)),
IF(Import.TipoArredondamento&lt;&gt;"TransfereGOV",
ROUND(OFFSET($P131,0,AD$13),15-13*ORÇAMENTO!$AF$7)/$H131*OFFSET(ORÇAMENTO!$X$15,ROW(AD131)-ROW(AD$15),0),
ROUND(ROUND(OFFSET($P131,0,AD$13),15-13*ORÇAMENTO!$AF$7)*OFFSET(ORÇAMENTO!$W$15,ROW(AD131)-ROW(AD$15),0),15-13*ORÇAMENTO!$AF$11)),0)</f>
        <v>0</v>
      </c>
      <c r="AE131" s="545">
        <f ca="1">IF(AND($D131="Serviço",AE$12&lt;&gt;0,$H131&gt;0,OR(AUTOEVENTO&lt;&gt;"manual",$M131&lt;&gt;1)),
IF(Import.TipoArredondamento&lt;&gt;"TransfereGOV",
ROUND(OFFSET($P131,0,AE$13),15-13*ORÇAMENTO!$AF$7)/$H131*OFFSET(ORÇAMENTO!$X$15,ROW(AE131)-ROW(AE$15),0),
ROUND(ROUND(OFFSET($P131,0,AE$13),15-13*ORÇAMENTO!$AF$7)*OFFSET(ORÇAMENTO!$W$15,ROW(AE131)-ROW(AE$15),0),15-13*ORÇAMENTO!$AF$11)),0)</f>
        <v>0</v>
      </c>
      <c r="AF131" s="545">
        <f ca="1">IF(AND($D131="Serviço",AF$12&lt;&gt;0,$H131&gt;0,OR(AUTOEVENTO&lt;&gt;"manual",$M131&lt;&gt;1)),
IF(Import.TipoArredondamento&lt;&gt;"TransfereGOV",
ROUND(OFFSET($P131,0,AF$13),15-13*ORÇAMENTO!$AF$7)/$H131*OFFSET(ORÇAMENTO!$X$15,ROW(AF131)-ROW(AF$15),0),
ROUND(ROUND(OFFSET($P131,0,AF$13),15-13*ORÇAMENTO!$AF$7)*OFFSET(ORÇAMENTO!$W$15,ROW(AF131)-ROW(AF$15),0),15-13*ORÇAMENTO!$AF$11)),0)</f>
        <v>0</v>
      </c>
      <c r="AG131" s="545">
        <f ca="1">IF(AND($D131="Serviço",AG$12&lt;&gt;0,$H131&gt;0,OR(AUTOEVENTO&lt;&gt;"manual",$M131&lt;&gt;1)),
IF(Import.TipoArredondamento&lt;&gt;"TransfereGOV",
ROUND(OFFSET($P131,0,AG$13),15-13*ORÇAMENTO!$AF$7)/$H131*OFFSET(ORÇAMENTO!$X$15,ROW(AG131)-ROW(AG$15),0),
ROUND(ROUND(OFFSET($P131,0,AG$13),15-13*ORÇAMENTO!$AF$7)*OFFSET(ORÇAMENTO!$W$15,ROW(AG131)-ROW(AG$15),0),15-13*ORÇAMENTO!$AF$11)),0)</f>
        <v>0</v>
      </c>
      <c r="AH131" s="545">
        <f ca="1">IF(AND($D131="Serviço",AH$12&lt;&gt;0,$H131&gt;0,OR(AUTOEVENTO&lt;&gt;"manual",$M131&lt;&gt;1)),
IF(Import.TipoArredondamento&lt;&gt;"TransfereGOV",
ROUND(OFFSET($P131,0,AH$13),15-13*ORÇAMENTO!$AF$7)/$H131*OFFSET(ORÇAMENTO!$X$15,ROW(AH131)-ROW(AH$15),0),
ROUND(ROUND(OFFSET($P131,0,AH$13),15-13*ORÇAMENTO!$AF$7)*OFFSET(ORÇAMENTO!$W$15,ROW(AH131)-ROW(AH$15),0),15-13*ORÇAMENTO!$AF$11)),0)</f>
        <v>0</v>
      </c>
      <c r="AI131" s="545">
        <f ca="1">IF(AND($D131="Serviço",AI$12&lt;&gt;0,$H131&gt;0,OR(AUTOEVENTO&lt;&gt;"manual",$M131&lt;&gt;1)),
IF(Import.TipoArredondamento&lt;&gt;"TransfereGOV",
ROUND(OFFSET($P131,0,AI$13),15-13*ORÇAMENTO!$AF$7)/$H131*OFFSET(ORÇAMENTO!$X$15,ROW(AI131)-ROW(AI$15),0),
ROUND(ROUND(OFFSET($P131,0,AI$13),15-13*ORÇAMENTO!$AF$7)*OFFSET(ORÇAMENTO!$W$15,ROW(AI131)-ROW(AI$15),0),15-13*ORÇAMENTO!$AF$11)),0)</f>
        <v>0</v>
      </c>
      <c r="AJ131" s="545">
        <f ca="1">IF(AND($D131="Serviço",AJ$12&lt;&gt;0,$H131&gt;0,OR(AUTOEVENTO&lt;&gt;"manual",$M131&lt;&gt;1)),
IF(Import.TipoArredondamento&lt;&gt;"TransfereGOV",
ROUND(OFFSET($P131,0,AJ$13),15-13*ORÇAMENTO!$AF$7)/$H131*OFFSET(ORÇAMENTO!$X$15,ROW(AJ131)-ROW(AJ$15),0),
ROUND(ROUND(OFFSET($P131,0,AJ$13),15-13*ORÇAMENTO!$AF$7)*OFFSET(ORÇAMENTO!$W$15,ROW(AJ131)-ROW(AJ$15),0),15-13*ORÇAMENTO!$AF$11)),0)</f>
        <v>0</v>
      </c>
      <c r="AK131" s="546">
        <f ca="1">IF(AND($D131="Serviço",AK$12&lt;&gt;0,$H131&gt;0,OR(AUTOEVENTO&lt;&gt;"manual",$M131&lt;&gt;1)),
IF(Import.TipoArredondamento&lt;&gt;"TransfereGOV",
ROUND(OFFSET($P131,0,AK$13),15-13*ORÇAMENTO!$AF$7)/$H131*OFFSET(ORÇAMENTO!$X$15,ROW(AK131)-ROW(AK$15),0),
ROUND(ROUND(OFFSET($P131,0,AK$13),15-13*ORÇAMENTO!$AF$7)*OFFSET(ORÇAMENTO!$W$15,ROW(AK131)-ROW(AK$15),0),15-13*ORÇAMENTO!$AF$11)),0)</f>
        <v>0</v>
      </c>
      <c r="AM131" s="181">
        <f ca="1">IF($D131&lt;&gt;"Serviço",0,IF(AND(AUTOEVENTO="Manual",$M131=1),0,IF(OFFSET(CRONOPLE!$F$14,$M131,AM$13)="",10^12,OFFSET(CRONOPLE!$F$14,$M131,AM$13))))</f>
        <v>1000000000000</v>
      </c>
      <c r="AN131" s="181">
        <f ca="1">IF($D131&lt;&gt;"Serviço",0,IF(AND(AUTOEVENTO="Manual",$M131=1),0,IF(OFFSET(CRONOPLE!$F$14,$M131,AN$13)="",10^12,OFFSET(CRONOPLE!$F$14,$M131,AN$13))))</f>
        <v>1000000000000</v>
      </c>
      <c r="AO131" s="181">
        <f ca="1">IF($D131&lt;&gt;"Serviço",0,IF(AND(AUTOEVENTO="Manual",$M131=1),0,IF(OFFSET(CRONOPLE!$F$14,$M131,AO$13)="",10^12,OFFSET(CRONOPLE!$F$14,$M131,AO$13))))</f>
        <v>1000000000000</v>
      </c>
      <c r="AP131" s="181">
        <f ca="1">IF($D131&lt;&gt;"Serviço",0,IF(AND(AUTOEVENTO="Manual",$M131=1),0,IF(OFFSET(CRONOPLE!$F$14,$M131,AP$13)="",10^12,OFFSET(CRONOPLE!$F$14,$M131,AP$13))))</f>
        <v>1000000000000</v>
      </c>
      <c r="AQ131" s="181">
        <f ca="1">IF($D131&lt;&gt;"Serviço",0,IF(AND(AUTOEVENTO="Manual",$M131=1),0,IF(OFFSET(CRONOPLE!$F$14,$M131,AQ$13)="",10^12,OFFSET(CRONOPLE!$F$14,$M131,AQ$13))))</f>
        <v>1000000000000</v>
      </c>
      <c r="AR131" s="181">
        <f ca="1">IF($D131&lt;&gt;"Serviço",0,IF(AND(AUTOEVENTO="Manual",$M131=1),0,IF(OFFSET(CRONOPLE!$F$14,$M131,AR$13)="",10^12,OFFSET(CRONOPLE!$F$14,$M131,AR$13))))</f>
        <v>1000000000000</v>
      </c>
      <c r="AS131" s="181">
        <f ca="1">IF($D131&lt;&gt;"Serviço",0,IF(AND(AUTOEVENTO="Manual",$M131=1),0,IF(OFFSET(CRONOPLE!$F$14,$M131,AS$13)="",10^12,OFFSET(CRONOPLE!$F$14,$M131,AS$13))))</f>
        <v>1000000000000</v>
      </c>
      <c r="AT131" s="181">
        <f ca="1">IF($D131&lt;&gt;"Serviço",0,IF(AND(AUTOEVENTO="Manual",$M131=1),0,IF(OFFSET(CRONOPLE!$F$14,$M131,AT$13)="",10^12,OFFSET(CRONOPLE!$F$14,$M131,AT$13))))</f>
        <v>1000000000000</v>
      </c>
      <c r="AU131" s="181">
        <f ca="1">IF($D131&lt;&gt;"Serviço",0,IF(AND(AUTOEVENTO="Manual",$M131=1),0,IF(OFFSET(CRONOPLE!$F$14,$M131,AU$13)="",10^12,OFFSET(CRONOPLE!$F$14,$M131,AU$13))))</f>
        <v>1000000000000</v>
      </c>
      <c r="AV131" s="181">
        <f ca="1">IF($D131&lt;&gt;"Serviço",0,IF(AND(AUTOEVENTO="Manual",$M131=1),0,IF(OFFSET(CRONOPLE!$F$14,$M131,AV$13)="",10^12,OFFSET(CRONOPLE!$F$14,$M131,AV$13))))</f>
        <v>1000000000000</v>
      </c>
      <c r="AX131" s="182">
        <f ca="1">IF($D131&lt;&gt;"Serviço",0,IF(OR(AND(AUTOEVENTO="Manual",$M131=1),$M131&gt;(ROW(PLE.lastrow)-ROW(PLE.firstrow))),0,IF(OFFSET(PLE!$G$14,$M131,AX$13)="",10^12,OFFSET(PLE!$G$14,$M131,AX$13))))</f>
        <v>1000000000000</v>
      </c>
      <c r="AY131" s="182">
        <f ca="1">IF($D131&lt;&gt;"Serviço",0,IF(OR(AND(AUTOEVENTO="Manual",$M131=1),$M131&gt;(ROW(PLE.lastrow)-ROW(PLE.firstrow))),0,IF(OFFSET(PLE!$G$14,$M131,AY$13)="",10^12,OFFSET(PLE!$G$14,$M131,AY$13))))</f>
        <v>1000000000000</v>
      </c>
      <c r="AZ131" s="182">
        <f ca="1">IF($D131&lt;&gt;"Serviço",0,IF(OR(AND(AUTOEVENTO="Manual",$M131=1),$M131&gt;(ROW(PLE.lastrow)-ROW(PLE.firstrow))),0,IF(OFFSET(PLE!$G$14,$M131,AZ$13)="",10^12,OFFSET(PLE!$G$14,$M131,AZ$13))))</f>
        <v>1000000000000</v>
      </c>
      <c r="BA131" s="182">
        <f ca="1">IF($D131&lt;&gt;"Serviço",0,IF(OR(AND(AUTOEVENTO="Manual",$M131=1),$M131&gt;(ROW(PLE.lastrow)-ROW(PLE.firstrow))),0,IF(OFFSET(PLE!$G$14,$M131,BA$13)="",10^12,OFFSET(PLE!$G$14,$M131,BA$13))))</f>
        <v>1000000000000</v>
      </c>
      <c r="BB131" s="182">
        <f ca="1">IF($D131&lt;&gt;"Serviço",0,IF(OR(AND(AUTOEVENTO="Manual",$M131=1),$M131&gt;(ROW(PLE.lastrow)-ROW(PLE.firstrow))),0,IF(OFFSET(PLE!$G$14,$M131,BB$13)="",10^12,OFFSET(PLE!$G$14,$M131,BB$13))))</f>
        <v>1000000000000</v>
      </c>
      <c r="BC131" s="182">
        <f ca="1">IF($D131&lt;&gt;"Serviço",0,IF(OR(AND(AUTOEVENTO="Manual",$M131=1),$M131&gt;(ROW(PLE.lastrow)-ROW(PLE.firstrow))),0,IF(OFFSET(PLE!$G$14,$M131,BC$13)="",10^12,OFFSET(PLE!$G$14,$M131,BC$13))))</f>
        <v>1000000000000</v>
      </c>
      <c r="BD131" s="182">
        <f ca="1">IF($D131&lt;&gt;"Serviço",0,IF(OR(AND(AUTOEVENTO="Manual",$M131=1),$M131&gt;(ROW(PLE.lastrow)-ROW(PLE.firstrow))),0,IF(OFFSET(PLE!$G$14,$M131,BD$13)="",10^12,OFFSET(PLE!$G$14,$M131,BD$13))))</f>
        <v>1000000000000</v>
      </c>
      <c r="BE131" s="182">
        <f ca="1">IF($D131&lt;&gt;"Serviço",0,IF(OR(AND(AUTOEVENTO="Manual",$M131=1),$M131&gt;(ROW(PLE.lastrow)-ROW(PLE.firstrow))),0,IF(OFFSET(PLE!$G$14,$M131,BE$13)="",10^12,OFFSET(PLE!$G$14,$M131,BE$13))))</f>
        <v>1000000000000</v>
      </c>
      <c r="BF131" s="182">
        <f ca="1">IF($D131&lt;&gt;"Serviço",0,IF(OR(AND(AUTOEVENTO="Manual",$M131=1),$M131&gt;(ROW(PLE.lastrow)-ROW(PLE.firstrow))),0,IF(OFFSET(PLE!$G$14,$M131,BF$13)="",10^12,OFFSET(PLE!$G$14,$M131,BF$13))))</f>
        <v>1000000000000</v>
      </c>
      <c r="BG131" s="182">
        <f ca="1">IF($D131&lt;&gt;"Serviço",0,IF(OR(AND(AUTOEVENTO="Manual",$M131=1),$M131&gt;(ROW(PLE.lastrow)-ROW(PLE.firstrow))),0,IF(OFFSET(PLE!$G$14,$M131,BG$13)="",10^12,OFFSET(PLE!$G$14,$M131,BG$13))))</f>
        <v>1000000000000</v>
      </c>
    </row>
    <row r="132" spans="1:59" ht="25.5" x14ac:dyDescent="0.2">
      <c r="A132" s="7" t="str">
        <f t="shared" ca="1" si="13"/>
        <v>112</v>
      </c>
      <c r="B132" s="7" t="str">
        <f ca="1">OFFSET(ORÇAMENTO!C$15,ROW(B132)-ROW(B$15),0)</f>
        <v>S</v>
      </c>
      <c r="C132" s="7" t="str">
        <f ca="1">OFFSET(ORÇAMENTO!L$15,ROW(C132)-ROW(C$15),0)</f>
        <v>F</v>
      </c>
      <c r="D132" s="118" t="str">
        <f ca="1">OFFSET(ORÇAMENTO!N$15,ROW(D132)-ROW(D$15),0)</f>
        <v>Serviço</v>
      </c>
      <c r="E132" s="119" t="str">
        <f ca="1">OFFSET(ORÇAMENTO!O$15,ROW(E132)-ROW(E$15),0)</f>
        <v>8.2.5.</v>
      </c>
      <c r="F132" s="172" t="str">
        <f ca="1">OFFSET(ORÇAMENTO!R$15,ROW(F132)-ROW(F$15),0)</f>
        <v>SABONETEIRA PLÁSTICA TIPO DISPENSER PARA SABONETE LÍQUIDO COM RESERVATÓRIO 800 A 1500 ML, INCLUSO FIXAÇÃO. AF_02/2026</v>
      </c>
      <c r="G132" s="173" t="str">
        <f ca="1">IF($D132&lt;&gt;"Serviço","",OFFSET(ORÇAMENTO!S$15,ROW(G132)-ROW(G$15),0))</f>
        <v>UN</v>
      </c>
      <c r="H132" s="124">
        <f ca="1">IF($D132&lt;&gt;"Serviço",0,IF(ACOMPANHAMENTO="BM",ROUND(OFFSET(ORÇAMENTO!AJ$15,ROW(H132)-ROW(H$15),0),15-13*ORÇAMENTO!$AF$7),SUMPRODUCT(($Q$12:$AA$12&lt;&gt;"")*ROUND($Q132:$AA132,15-13*ORÇAMENTO!$AF$7))))</f>
        <v>4</v>
      </c>
      <c r="I132" s="561"/>
      <c r="K132" s="174"/>
      <c r="L132" s="175" t="s">
        <v>255</v>
      </c>
      <c r="M132" s="176">
        <f ca="1">IF($D132&lt;&gt;"Serviço","",IF(AUTOEVENTO="manual",$A132,IF(ISERROR(MATCH($A132,$A$15:OFFSET($A132,-1,0),0)),MAX($M$15:OFFSET(M132,-1,0))+1,INDEX($M$15:OFFSET(M132,-1,0),MATCH($A132,$A$15:OFFSET($A132,-1,0),0)))))</f>
        <v>19</v>
      </c>
      <c r="N132" s="177" t="str">
        <f ca="1">IF($D132&lt;&gt;"Serviço","",IF(AUTOEVENTO="Manual",IF($A132=0,"&lt;-- defina o número do agrupador",OFFSET(EVENTOS!$D$14,$A132,0)),OFFSET($F$15,$A132,0)))</f>
        <v>ACESSÓRIOS  E ACESSIBILIDADE</v>
      </c>
      <c r="O132" s="178"/>
      <c r="Q132" s="178"/>
      <c r="R132" s="179"/>
      <c r="S132" s="179"/>
      <c r="T132" s="179"/>
      <c r="U132" s="179"/>
      <c r="V132" s="179"/>
      <c r="W132" s="179"/>
      <c r="X132" s="179"/>
      <c r="Y132" s="179"/>
      <c r="Z132" s="180"/>
      <c r="AB132" s="544">
        <f ca="1">IF(AND($D132="Serviço",AB$12&lt;&gt;0,$H132&gt;0,OR(AUTOEVENTO&lt;&gt;"manual",$M132&lt;&gt;1)),
IF(Import.TipoArredondamento&lt;&gt;"TransfereGOV",
ROUND(OFFSET($P132,0,AB$13),15-13*ORÇAMENTO!$AF$7)/$H132*OFFSET(ORÇAMENTO!$X$15,ROW(AB132)-ROW(AB$15),0),
ROUND(ROUND(OFFSET($P132,0,AB$13),15-13*ORÇAMENTO!$AF$7)*OFFSET(ORÇAMENTO!$W$15,ROW(AB132)-ROW(AB$15),0),15-13*ORÇAMENTO!$AF$11)),0)</f>
        <v>0</v>
      </c>
      <c r="AC132" s="545">
        <f ca="1">IF(AND($D132="Serviço",AC$12&lt;&gt;0,$H132&gt;0,OR(AUTOEVENTO&lt;&gt;"manual",$M132&lt;&gt;1)),
IF(Import.TipoArredondamento&lt;&gt;"TransfereGOV",
ROUND(OFFSET($P132,0,AC$13),15-13*ORÇAMENTO!$AF$7)/$H132*OFFSET(ORÇAMENTO!$X$15,ROW(AC132)-ROW(AC$15),0),
ROUND(ROUND(OFFSET($P132,0,AC$13),15-13*ORÇAMENTO!$AF$7)*OFFSET(ORÇAMENTO!$W$15,ROW(AC132)-ROW(AC$15),0),15-13*ORÇAMENTO!$AF$11)),0)</f>
        <v>0</v>
      </c>
      <c r="AD132" s="545">
        <f ca="1">IF(AND($D132="Serviço",AD$12&lt;&gt;0,$H132&gt;0,OR(AUTOEVENTO&lt;&gt;"manual",$M132&lt;&gt;1)),
IF(Import.TipoArredondamento&lt;&gt;"TransfereGOV",
ROUND(OFFSET($P132,0,AD$13),15-13*ORÇAMENTO!$AF$7)/$H132*OFFSET(ORÇAMENTO!$X$15,ROW(AD132)-ROW(AD$15),0),
ROUND(ROUND(OFFSET($P132,0,AD$13),15-13*ORÇAMENTO!$AF$7)*OFFSET(ORÇAMENTO!$W$15,ROW(AD132)-ROW(AD$15),0),15-13*ORÇAMENTO!$AF$11)),0)</f>
        <v>0</v>
      </c>
      <c r="AE132" s="545">
        <f ca="1">IF(AND($D132="Serviço",AE$12&lt;&gt;0,$H132&gt;0,OR(AUTOEVENTO&lt;&gt;"manual",$M132&lt;&gt;1)),
IF(Import.TipoArredondamento&lt;&gt;"TransfereGOV",
ROUND(OFFSET($P132,0,AE$13),15-13*ORÇAMENTO!$AF$7)/$H132*OFFSET(ORÇAMENTO!$X$15,ROW(AE132)-ROW(AE$15),0),
ROUND(ROUND(OFFSET($P132,0,AE$13),15-13*ORÇAMENTO!$AF$7)*OFFSET(ORÇAMENTO!$W$15,ROW(AE132)-ROW(AE$15),0),15-13*ORÇAMENTO!$AF$11)),0)</f>
        <v>0</v>
      </c>
      <c r="AF132" s="545">
        <f ca="1">IF(AND($D132="Serviço",AF$12&lt;&gt;0,$H132&gt;0,OR(AUTOEVENTO&lt;&gt;"manual",$M132&lt;&gt;1)),
IF(Import.TipoArredondamento&lt;&gt;"TransfereGOV",
ROUND(OFFSET($P132,0,AF$13),15-13*ORÇAMENTO!$AF$7)/$H132*OFFSET(ORÇAMENTO!$X$15,ROW(AF132)-ROW(AF$15),0),
ROUND(ROUND(OFFSET($P132,0,AF$13),15-13*ORÇAMENTO!$AF$7)*OFFSET(ORÇAMENTO!$W$15,ROW(AF132)-ROW(AF$15),0),15-13*ORÇAMENTO!$AF$11)),0)</f>
        <v>0</v>
      </c>
      <c r="AG132" s="545">
        <f ca="1">IF(AND($D132="Serviço",AG$12&lt;&gt;0,$H132&gt;0,OR(AUTOEVENTO&lt;&gt;"manual",$M132&lt;&gt;1)),
IF(Import.TipoArredondamento&lt;&gt;"TransfereGOV",
ROUND(OFFSET($P132,0,AG$13),15-13*ORÇAMENTO!$AF$7)/$H132*OFFSET(ORÇAMENTO!$X$15,ROW(AG132)-ROW(AG$15),0),
ROUND(ROUND(OFFSET($P132,0,AG$13),15-13*ORÇAMENTO!$AF$7)*OFFSET(ORÇAMENTO!$W$15,ROW(AG132)-ROW(AG$15),0),15-13*ORÇAMENTO!$AF$11)),0)</f>
        <v>0</v>
      </c>
      <c r="AH132" s="545">
        <f ca="1">IF(AND($D132="Serviço",AH$12&lt;&gt;0,$H132&gt;0,OR(AUTOEVENTO&lt;&gt;"manual",$M132&lt;&gt;1)),
IF(Import.TipoArredondamento&lt;&gt;"TransfereGOV",
ROUND(OFFSET($P132,0,AH$13),15-13*ORÇAMENTO!$AF$7)/$H132*OFFSET(ORÇAMENTO!$X$15,ROW(AH132)-ROW(AH$15),0),
ROUND(ROUND(OFFSET($P132,0,AH$13),15-13*ORÇAMENTO!$AF$7)*OFFSET(ORÇAMENTO!$W$15,ROW(AH132)-ROW(AH$15),0),15-13*ORÇAMENTO!$AF$11)),0)</f>
        <v>0</v>
      </c>
      <c r="AI132" s="545">
        <f ca="1">IF(AND($D132="Serviço",AI$12&lt;&gt;0,$H132&gt;0,OR(AUTOEVENTO&lt;&gt;"manual",$M132&lt;&gt;1)),
IF(Import.TipoArredondamento&lt;&gt;"TransfereGOV",
ROUND(OFFSET($P132,0,AI$13),15-13*ORÇAMENTO!$AF$7)/$H132*OFFSET(ORÇAMENTO!$X$15,ROW(AI132)-ROW(AI$15),0),
ROUND(ROUND(OFFSET($P132,0,AI$13),15-13*ORÇAMENTO!$AF$7)*OFFSET(ORÇAMENTO!$W$15,ROW(AI132)-ROW(AI$15),0),15-13*ORÇAMENTO!$AF$11)),0)</f>
        <v>0</v>
      </c>
      <c r="AJ132" s="545">
        <f ca="1">IF(AND($D132="Serviço",AJ$12&lt;&gt;0,$H132&gt;0,OR(AUTOEVENTO&lt;&gt;"manual",$M132&lt;&gt;1)),
IF(Import.TipoArredondamento&lt;&gt;"TransfereGOV",
ROUND(OFFSET($P132,0,AJ$13),15-13*ORÇAMENTO!$AF$7)/$H132*OFFSET(ORÇAMENTO!$X$15,ROW(AJ132)-ROW(AJ$15),0),
ROUND(ROUND(OFFSET($P132,0,AJ$13),15-13*ORÇAMENTO!$AF$7)*OFFSET(ORÇAMENTO!$W$15,ROW(AJ132)-ROW(AJ$15),0),15-13*ORÇAMENTO!$AF$11)),0)</f>
        <v>0</v>
      </c>
      <c r="AK132" s="546">
        <f ca="1">IF(AND($D132="Serviço",AK$12&lt;&gt;0,$H132&gt;0,OR(AUTOEVENTO&lt;&gt;"manual",$M132&lt;&gt;1)),
IF(Import.TipoArredondamento&lt;&gt;"TransfereGOV",
ROUND(OFFSET($P132,0,AK$13),15-13*ORÇAMENTO!$AF$7)/$H132*OFFSET(ORÇAMENTO!$X$15,ROW(AK132)-ROW(AK$15),0),
ROUND(ROUND(OFFSET($P132,0,AK$13),15-13*ORÇAMENTO!$AF$7)*OFFSET(ORÇAMENTO!$W$15,ROW(AK132)-ROW(AK$15),0),15-13*ORÇAMENTO!$AF$11)),0)</f>
        <v>0</v>
      </c>
      <c r="AM132" s="181">
        <f ca="1">IF($D132&lt;&gt;"Serviço",0,IF(AND(AUTOEVENTO="Manual",$M132=1),0,IF(OFFSET(CRONOPLE!$F$14,$M132,AM$13)="",10^12,OFFSET(CRONOPLE!$F$14,$M132,AM$13))))</f>
        <v>1000000000000</v>
      </c>
      <c r="AN132" s="181">
        <f ca="1">IF($D132&lt;&gt;"Serviço",0,IF(AND(AUTOEVENTO="Manual",$M132=1),0,IF(OFFSET(CRONOPLE!$F$14,$M132,AN$13)="",10^12,OFFSET(CRONOPLE!$F$14,$M132,AN$13))))</f>
        <v>1000000000000</v>
      </c>
      <c r="AO132" s="181">
        <f ca="1">IF($D132&lt;&gt;"Serviço",0,IF(AND(AUTOEVENTO="Manual",$M132=1),0,IF(OFFSET(CRONOPLE!$F$14,$M132,AO$13)="",10^12,OFFSET(CRONOPLE!$F$14,$M132,AO$13))))</f>
        <v>1000000000000</v>
      </c>
      <c r="AP132" s="181">
        <f ca="1">IF($D132&lt;&gt;"Serviço",0,IF(AND(AUTOEVENTO="Manual",$M132=1),0,IF(OFFSET(CRONOPLE!$F$14,$M132,AP$13)="",10^12,OFFSET(CRONOPLE!$F$14,$M132,AP$13))))</f>
        <v>1000000000000</v>
      </c>
      <c r="AQ132" s="181">
        <f ca="1">IF($D132&lt;&gt;"Serviço",0,IF(AND(AUTOEVENTO="Manual",$M132=1),0,IF(OFFSET(CRONOPLE!$F$14,$M132,AQ$13)="",10^12,OFFSET(CRONOPLE!$F$14,$M132,AQ$13))))</f>
        <v>1000000000000</v>
      </c>
      <c r="AR132" s="181">
        <f ca="1">IF($D132&lt;&gt;"Serviço",0,IF(AND(AUTOEVENTO="Manual",$M132=1),0,IF(OFFSET(CRONOPLE!$F$14,$M132,AR$13)="",10^12,OFFSET(CRONOPLE!$F$14,$M132,AR$13))))</f>
        <v>1000000000000</v>
      </c>
      <c r="AS132" s="181">
        <f ca="1">IF($D132&lt;&gt;"Serviço",0,IF(AND(AUTOEVENTO="Manual",$M132=1),0,IF(OFFSET(CRONOPLE!$F$14,$M132,AS$13)="",10^12,OFFSET(CRONOPLE!$F$14,$M132,AS$13))))</f>
        <v>1000000000000</v>
      </c>
      <c r="AT132" s="181">
        <f ca="1">IF($D132&lt;&gt;"Serviço",0,IF(AND(AUTOEVENTO="Manual",$M132=1),0,IF(OFFSET(CRONOPLE!$F$14,$M132,AT$13)="",10^12,OFFSET(CRONOPLE!$F$14,$M132,AT$13))))</f>
        <v>1000000000000</v>
      </c>
      <c r="AU132" s="181">
        <f ca="1">IF($D132&lt;&gt;"Serviço",0,IF(AND(AUTOEVENTO="Manual",$M132=1),0,IF(OFFSET(CRONOPLE!$F$14,$M132,AU$13)="",10^12,OFFSET(CRONOPLE!$F$14,$M132,AU$13))))</f>
        <v>1000000000000</v>
      </c>
      <c r="AV132" s="181">
        <f ca="1">IF($D132&lt;&gt;"Serviço",0,IF(AND(AUTOEVENTO="Manual",$M132=1),0,IF(OFFSET(CRONOPLE!$F$14,$M132,AV$13)="",10^12,OFFSET(CRONOPLE!$F$14,$M132,AV$13))))</f>
        <v>1000000000000</v>
      </c>
      <c r="AX132" s="182">
        <f ca="1">IF($D132&lt;&gt;"Serviço",0,IF(OR(AND(AUTOEVENTO="Manual",$M132=1),$M132&gt;(ROW(PLE.lastrow)-ROW(PLE.firstrow))),0,IF(OFFSET(PLE!$G$14,$M132,AX$13)="",10^12,OFFSET(PLE!$G$14,$M132,AX$13))))</f>
        <v>1000000000000</v>
      </c>
      <c r="AY132" s="182">
        <f ca="1">IF($D132&lt;&gt;"Serviço",0,IF(OR(AND(AUTOEVENTO="Manual",$M132=1),$M132&gt;(ROW(PLE.lastrow)-ROW(PLE.firstrow))),0,IF(OFFSET(PLE!$G$14,$M132,AY$13)="",10^12,OFFSET(PLE!$G$14,$M132,AY$13))))</f>
        <v>1000000000000</v>
      </c>
      <c r="AZ132" s="182">
        <f ca="1">IF($D132&lt;&gt;"Serviço",0,IF(OR(AND(AUTOEVENTO="Manual",$M132=1),$M132&gt;(ROW(PLE.lastrow)-ROW(PLE.firstrow))),0,IF(OFFSET(PLE!$G$14,$M132,AZ$13)="",10^12,OFFSET(PLE!$G$14,$M132,AZ$13))))</f>
        <v>1000000000000</v>
      </c>
      <c r="BA132" s="182">
        <f ca="1">IF($D132&lt;&gt;"Serviço",0,IF(OR(AND(AUTOEVENTO="Manual",$M132=1),$M132&gt;(ROW(PLE.lastrow)-ROW(PLE.firstrow))),0,IF(OFFSET(PLE!$G$14,$M132,BA$13)="",10^12,OFFSET(PLE!$G$14,$M132,BA$13))))</f>
        <v>1000000000000</v>
      </c>
      <c r="BB132" s="182">
        <f ca="1">IF($D132&lt;&gt;"Serviço",0,IF(OR(AND(AUTOEVENTO="Manual",$M132=1),$M132&gt;(ROW(PLE.lastrow)-ROW(PLE.firstrow))),0,IF(OFFSET(PLE!$G$14,$M132,BB$13)="",10^12,OFFSET(PLE!$G$14,$M132,BB$13))))</f>
        <v>1000000000000</v>
      </c>
      <c r="BC132" s="182">
        <f ca="1">IF($D132&lt;&gt;"Serviço",0,IF(OR(AND(AUTOEVENTO="Manual",$M132=1),$M132&gt;(ROW(PLE.lastrow)-ROW(PLE.firstrow))),0,IF(OFFSET(PLE!$G$14,$M132,BC$13)="",10^12,OFFSET(PLE!$G$14,$M132,BC$13))))</f>
        <v>1000000000000</v>
      </c>
      <c r="BD132" s="182">
        <f ca="1">IF($D132&lt;&gt;"Serviço",0,IF(OR(AND(AUTOEVENTO="Manual",$M132=1),$M132&gt;(ROW(PLE.lastrow)-ROW(PLE.firstrow))),0,IF(OFFSET(PLE!$G$14,$M132,BD$13)="",10^12,OFFSET(PLE!$G$14,$M132,BD$13))))</f>
        <v>1000000000000</v>
      </c>
      <c r="BE132" s="182">
        <f ca="1">IF($D132&lt;&gt;"Serviço",0,IF(OR(AND(AUTOEVENTO="Manual",$M132=1),$M132&gt;(ROW(PLE.lastrow)-ROW(PLE.firstrow))),0,IF(OFFSET(PLE!$G$14,$M132,BE$13)="",10^12,OFFSET(PLE!$G$14,$M132,BE$13))))</f>
        <v>1000000000000</v>
      </c>
      <c r="BF132" s="182">
        <f ca="1">IF($D132&lt;&gt;"Serviço",0,IF(OR(AND(AUTOEVENTO="Manual",$M132=1),$M132&gt;(ROW(PLE.lastrow)-ROW(PLE.firstrow))),0,IF(OFFSET(PLE!$G$14,$M132,BF$13)="",10^12,OFFSET(PLE!$G$14,$M132,BF$13))))</f>
        <v>1000000000000</v>
      </c>
      <c r="BG132" s="182">
        <f ca="1">IF($D132&lt;&gt;"Serviço",0,IF(OR(AND(AUTOEVENTO="Manual",$M132=1),$M132&gt;(ROW(PLE.lastrow)-ROW(PLE.firstrow))),0,IF(OFFSET(PLE!$G$14,$M132,BG$13)="",10^12,OFFSET(PLE!$G$14,$M132,BG$13))))</f>
        <v>1000000000000</v>
      </c>
    </row>
    <row r="133" spans="1:59" ht="25.5" x14ac:dyDescent="0.2">
      <c r="A133" s="7" t="str">
        <f t="shared" ca="1" si="13"/>
        <v>112</v>
      </c>
      <c r="B133" s="7" t="str">
        <f ca="1">OFFSET(ORÇAMENTO!C$15,ROW(B133)-ROW(B$15),0)</f>
        <v>S</v>
      </c>
      <c r="C133" s="7" t="str">
        <f ca="1">OFFSET(ORÇAMENTO!L$15,ROW(C133)-ROW(C$15),0)</f>
        <v>F</v>
      </c>
      <c r="D133" s="118" t="str">
        <f ca="1">OFFSET(ORÇAMENTO!N$15,ROW(D133)-ROW(D$15),0)</f>
        <v>Serviço</v>
      </c>
      <c r="E133" s="119" t="str">
        <f ca="1">OFFSET(ORÇAMENTO!O$15,ROW(E133)-ROW(E$15),0)</f>
        <v>8.2.6.</v>
      </c>
      <c r="F133" s="172" t="str">
        <f ca="1">OFFSET(ORÇAMENTO!R$15,ROW(F133)-ROW(F$15),0)</f>
        <v>PAPELEIRA PLASTICA TIPO DISPENSER PARA PAPEL HIGIENICO ROLAO</v>
      </c>
      <c r="G133" s="173" t="str">
        <f ca="1">IF($D133&lt;&gt;"Serviço","",OFFSET(ORÇAMENTO!S$15,ROW(G133)-ROW(G$15),0))</f>
        <v>UN</v>
      </c>
      <c r="H133" s="124">
        <f ca="1">IF($D133&lt;&gt;"Serviço",0,IF(ACOMPANHAMENTO="BM",ROUND(OFFSET(ORÇAMENTO!AJ$15,ROW(H133)-ROW(H$15),0),15-13*ORÇAMENTO!$AF$7),SUMPRODUCT(($Q$12:$AA$12&lt;&gt;"")*ROUND($Q133:$AA133,15-13*ORÇAMENTO!$AF$7))))</f>
        <v>4</v>
      </c>
      <c r="I133" s="561"/>
      <c r="K133" s="174"/>
      <c r="L133" s="175" t="s">
        <v>255</v>
      </c>
      <c r="M133" s="176">
        <f ca="1">IF($D133&lt;&gt;"Serviço","",IF(AUTOEVENTO="manual",$A133,IF(ISERROR(MATCH($A133,$A$15:OFFSET($A133,-1,0),0)),MAX($M$15:OFFSET(M133,-1,0))+1,INDEX($M$15:OFFSET(M133,-1,0),MATCH($A133,$A$15:OFFSET($A133,-1,0),0)))))</f>
        <v>19</v>
      </c>
      <c r="N133" s="177" t="str">
        <f ca="1">IF($D133&lt;&gt;"Serviço","",IF(AUTOEVENTO="Manual",IF($A133=0,"&lt;-- defina o número do agrupador",OFFSET(EVENTOS!$D$14,$A133,0)),OFFSET($F$15,$A133,0)))</f>
        <v>ACESSÓRIOS  E ACESSIBILIDADE</v>
      </c>
      <c r="O133" s="178"/>
      <c r="Q133" s="178"/>
      <c r="R133" s="179"/>
      <c r="S133" s="179"/>
      <c r="T133" s="179"/>
      <c r="U133" s="179"/>
      <c r="V133" s="179"/>
      <c r="W133" s="179"/>
      <c r="X133" s="179"/>
      <c r="Y133" s="179"/>
      <c r="Z133" s="180"/>
      <c r="AB133" s="544">
        <f ca="1">IF(AND($D133="Serviço",AB$12&lt;&gt;0,$H133&gt;0,OR(AUTOEVENTO&lt;&gt;"manual",$M133&lt;&gt;1)),
IF(Import.TipoArredondamento&lt;&gt;"TransfereGOV",
ROUND(OFFSET($P133,0,AB$13),15-13*ORÇAMENTO!$AF$7)/$H133*OFFSET(ORÇAMENTO!$X$15,ROW(AB133)-ROW(AB$15),0),
ROUND(ROUND(OFFSET($P133,0,AB$13),15-13*ORÇAMENTO!$AF$7)*OFFSET(ORÇAMENTO!$W$15,ROW(AB133)-ROW(AB$15),0),15-13*ORÇAMENTO!$AF$11)),0)</f>
        <v>0</v>
      </c>
      <c r="AC133" s="545">
        <f ca="1">IF(AND($D133="Serviço",AC$12&lt;&gt;0,$H133&gt;0,OR(AUTOEVENTO&lt;&gt;"manual",$M133&lt;&gt;1)),
IF(Import.TipoArredondamento&lt;&gt;"TransfereGOV",
ROUND(OFFSET($P133,0,AC$13),15-13*ORÇAMENTO!$AF$7)/$H133*OFFSET(ORÇAMENTO!$X$15,ROW(AC133)-ROW(AC$15),0),
ROUND(ROUND(OFFSET($P133,0,AC$13),15-13*ORÇAMENTO!$AF$7)*OFFSET(ORÇAMENTO!$W$15,ROW(AC133)-ROW(AC$15),0),15-13*ORÇAMENTO!$AF$11)),0)</f>
        <v>0</v>
      </c>
      <c r="AD133" s="545">
        <f ca="1">IF(AND($D133="Serviço",AD$12&lt;&gt;0,$H133&gt;0,OR(AUTOEVENTO&lt;&gt;"manual",$M133&lt;&gt;1)),
IF(Import.TipoArredondamento&lt;&gt;"TransfereGOV",
ROUND(OFFSET($P133,0,AD$13),15-13*ORÇAMENTO!$AF$7)/$H133*OFFSET(ORÇAMENTO!$X$15,ROW(AD133)-ROW(AD$15),0),
ROUND(ROUND(OFFSET($P133,0,AD$13),15-13*ORÇAMENTO!$AF$7)*OFFSET(ORÇAMENTO!$W$15,ROW(AD133)-ROW(AD$15),0),15-13*ORÇAMENTO!$AF$11)),0)</f>
        <v>0</v>
      </c>
      <c r="AE133" s="545">
        <f ca="1">IF(AND($D133="Serviço",AE$12&lt;&gt;0,$H133&gt;0,OR(AUTOEVENTO&lt;&gt;"manual",$M133&lt;&gt;1)),
IF(Import.TipoArredondamento&lt;&gt;"TransfereGOV",
ROUND(OFFSET($P133,0,AE$13),15-13*ORÇAMENTO!$AF$7)/$H133*OFFSET(ORÇAMENTO!$X$15,ROW(AE133)-ROW(AE$15),0),
ROUND(ROUND(OFFSET($P133,0,AE$13),15-13*ORÇAMENTO!$AF$7)*OFFSET(ORÇAMENTO!$W$15,ROW(AE133)-ROW(AE$15),0),15-13*ORÇAMENTO!$AF$11)),0)</f>
        <v>0</v>
      </c>
      <c r="AF133" s="545">
        <f ca="1">IF(AND($D133="Serviço",AF$12&lt;&gt;0,$H133&gt;0,OR(AUTOEVENTO&lt;&gt;"manual",$M133&lt;&gt;1)),
IF(Import.TipoArredondamento&lt;&gt;"TransfereGOV",
ROUND(OFFSET($P133,0,AF$13),15-13*ORÇAMENTO!$AF$7)/$H133*OFFSET(ORÇAMENTO!$X$15,ROW(AF133)-ROW(AF$15),0),
ROUND(ROUND(OFFSET($P133,0,AF$13),15-13*ORÇAMENTO!$AF$7)*OFFSET(ORÇAMENTO!$W$15,ROW(AF133)-ROW(AF$15),0),15-13*ORÇAMENTO!$AF$11)),0)</f>
        <v>0</v>
      </c>
      <c r="AG133" s="545">
        <f ca="1">IF(AND($D133="Serviço",AG$12&lt;&gt;0,$H133&gt;0,OR(AUTOEVENTO&lt;&gt;"manual",$M133&lt;&gt;1)),
IF(Import.TipoArredondamento&lt;&gt;"TransfereGOV",
ROUND(OFFSET($P133,0,AG$13),15-13*ORÇAMENTO!$AF$7)/$H133*OFFSET(ORÇAMENTO!$X$15,ROW(AG133)-ROW(AG$15),0),
ROUND(ROUND(OFFSET($P133,0,AG$13),15-13*ORÇAMENTO!$AF$7)*OFFSET(ORÇAMENTO!$W$15,ROW(AG133)-ROW(AG$15),0),15-13*ORÇAMENTO!$AF$11)),0)</f>
        <v>0</v>
      </c>
      <c r="AH133" s="545">
        <f ca="1">IF(AND($D133="Serviço",AH$12&lt;&gt;0,$H133&gt;0,OR(AUTOEVENTO&lt;&gt;"manual",$M133&lt;&gt;1)),
IF(Import.TipoArredondamento&lt;&gt;"TransfereGOV",
ROUND(OFFSET($P133,0,AH$13),15-13*ORÇAMENTO!$AF$7)/$H133*OFFSET(ORÇAMENTO!$X$15,ROW(AH133)-ROW(AH$15),0),
ROUND(ROUND(OFFSET($P133,0,AH$13),15-13*ORÇAMENTO!$AF$7)*OFFSET(ORÇAMENTO!$W$15,ROW(AH133)-ROW(AH$15),0),15-13*ORÇAMENTO!$AF$11)),0)</f>
        <v>0</v>
      </c>
      <c r="AI133" s="545">
        <f ca="1">IF(AND($D133="Serviço",AI$12&lt;&gt;0,$H133&gt;0,OR(AUTOEVENTO&lt;&gt;"manual",$M133&lt;&gt;1)),
IF(Import.TipoArredondamento&lt;&gt;"TransfereGOV",
ROUND(OFFSET($P133,0,AI$13),15-13*ORÇAMENTO!$AF$7)/$H133*OFFSET(ORÇAMENTO!$X$15,ROW(AI133)-ROW(AI$15),0),
ROUND(ROUND(OFFSET($P133,0,AI$13),15-13*ORÇAMENTO!$AF$7)*OFFSET(ORÇAMENTO!$W$15,ROW(AI133)-ROW(AI$15),0),15-13*ORÇAMENTO!$AF$11)),0)</f>
        <v>0</v>
      </c>
      <c r="AJ133" s="545">
        <f ca="1">IF(AND($D133="Serviço",AJ$12&lt;&gt;0,$H133&gt;0,OR(AUTOEVENTO&lt;&gt;"manual",$M133&lt;&gt;1)),
IF(Import.TipoArredondamento&lt;&gt;"TransfereGOV",
ROUND(OFFSET($P133,0,AJ$13),15-13*ORÇAMENTO!$AF$7)/$H133*OFFSET(ORÇAMENTO!$X$15,ROW(AJ133)-ROW(AJ$15),0),
ROUND(ROUND(OFFSET($P133,0,AJ$13),15-13*ORÇAMENTO!$AF$7)*OFFSET(ORÇAMENTO!$W$15,ROW(AJ133)-ROW(AJ$15),0),15-13*ORÇAMENTO!$AF$11)),0)</f>
        <v>0</v>
      </c>
      <c r="AK133" s="546">
        <f ca="1">IF(AND($D133="Serviço",AK$12&lt;&gt;0,$H133&gt;0,OR(AUTOEVENTO&lt;&gt;"manual",$M133&lt;&gt;1)),
IF(Import.TipoArredondamento&lt;&gt;"TransfereGOV",
ROUND(OFFSET($P133,0,AK$13),15-13*ORÇAMENTO!$AF$7)/$H133*OFFSET(ORÇAMENTO!$X$15,ROW(AK133)-ROW(AK$15),0),
ROUND(ROUND(OFFSET($P133,0,AK$13),15-13*ORÇAMENTO!$AF$7)*OFFSET(ORÇAMENTO!$W$15,ROW(AK133)-ROW(AK$15),0),15-13*ORÇAMENTO!$AF$11)),0)</f>
        <v>0</v>
      </c>
      <c r="AM133" s="181">
        <f ca="1">IF($D133&lt;&gt;"Serviço",0,IF(AND(AUTOEVENTO="Manual",$M133=1),0,IF(OFFSET(CRONOPLE!$F$14,$M133,AM$13)="",10^12,OFFSET(CRONOPLE!$F$14,$M133,AM$13))))</f>
        <v>1000000000000</v>
      </c>
      <c r="AN133" s="181">
        <f ca="1">IF($D133&lt;&gt;"Serviço",0,IF(AND(AUTOEVENTO="Manual",$M133=1),0,IF(OFFSET(CRONOPLE!$F$14,$M133,AN$13)="",10^12,OFFSET(CRONOPLE!$F$14,$M133,AN$13))))</f>
        <v>1000000000000</v>
      </c>
      <c r="AO133" s="181">
        <f ca="1">IF($D133&lt;&gt;"Serviço",0,IF(AND(AUTOEVENTO="Manual",$M133=1),0,IF(OFFSET(CRONOPLE!$F$14,$M133,AO$13)="",10^12,OFFSET(CRONOPLE!$F$14,$M133,AO$13))))</f>
        <v>1000000000000</v>
      </c>
      <c r="AP133" s="181">
        <f ca="1">IF($D133&lt;&gt;"Serviço",0,IF(AND(AUTOEVENTO="Manual",$M133=1),0,IF(OFFSET(CRONOPLE!$F$14,$M133,AP$13)="",10^12,OFFSET(CRONOPLE!$F$14,$M133,AP$13))))</f>
        <v>1000000000000</v>
      </c>
      <c r="AQ133" s="181">
        <f ca="1">IF($D133&lt;&gt;"Serviço",0,IF(AND(AUTOEVENTO="Manual",$M133=1),0,IF(OFFSET(CRONOPLE!$F$14,$M133,AQ$13)="",10^12,OFFSET(CRONOPLE!$F$14,$M133,AQ$13))))</f>
        <v>1000000000000</v>
      </c>
      <c r="AR133" s="181">
        <f ca="1">IF($D133&lt;&gt;"Serviço",0,IF(AND(AUTOEVENTO="Manual",$M133=1),0,IF(OFFSET(CRONOPLE!$F$14,$M133,AR$13)="",10^12,OFFSET(CRONOPLE!$F$14,$M133,AR$13))))</f>
        <v>1000000000000</v>
      </c>
      <c r="AS133" s="181">
        <f ca="1">IF($D133&lt;&gt;"Serviço",0,IF(AND(AUTOEVENTO="Manual",$M133=1),0,IF(OFFSET(CRONOPLE!$F$14,$M133,AS$13)="",10^12,OFFSET(CRONOPLE!$F$14,$M133,AS$13))))</f>
        <v>1000000000000</v>
      </c>
      <c r="AT133" s="181">
        <f ca="1">IF($D133&lt;&gt;"Serviço",0,IF(AND(AUTOEVENTO="Manual",$M133=1),0,IF(OFFSET(CRONOPLE!$F$14,$M133,AT$13)="",10^12,OFFSET(CRONOPLE!$F$14,$M133,AT$13))))</f>
        <v>1000000000000</v>
      </c>
      <c r="AU133" s="181">
        <f ca="1">IF($D133&lt;&gt;"Serviço",0,IF(AND(AUTOEVENTO="Manual",$M133=1),0,IF(OFFSET(CRONOPLE!$F$14,$M133,AU$13)="",10^12,OFFSET(CRONOPLE!$F$14,$M133,AU$13))))</f>
        <v>1000000000000</v>
      </c>
      <c r="AV133" s="181">
        <f ca="1">IF($D133&lt;&gt;"Serviço",0,IF(AND(AUTOEVENTO="Manual",$M133=1),0,IF(OFFSET(CRONOPLE!$F$14,$M133,AV$13)="",10^12,OFFSET(CRONOPLE!$F$14,$M133,AV$13))))</f>
        <v>1000000000000</v>
      </c>
      <c r="AX133" s="182">
        <f ca="1">IF($D133&lt;&gt;"Serviço",0,IF(OR(AND(AUTOEVENTO="Manual",$M133=1),$M133&gt;(ROW(PLE.lastrow)-ROW(PLE.firstrow))),0,IF(OFFSET(PLE!$G$14,$M133,AX$13)="",10^12,OFFSET(PLE!$G$14,$M133,AX$13))))</f>
        <v>1000000000000</v>
      </c>
      <c r="AY133" s="182">
        <f ca="1">IF($D133&lt;&gt;"Serviço",0,IF(OR(AND(AUTOEVENTO="Manual",$M133=1),$M133&gt;(ROW(PLE.lastrow)-ROW(PLE.firstrow))),0,IF(OFFSET(PLE!$G$14,$M133,AY$13)="",10^12,OFFSET(PLE!$G$14,$M133,AY$13))))</f>
        <v>1000000000000</v>
      </c>
      <c r="AZ133" s="182">
        <f ca="1">IF($D133&lt;&gt;"Serviço",0,IF(OR(AND(AUTOEVENTO="Manual",$M133=1),$M133&gt;(ROW(PLE.lastrow)-ROW(PLE.firstrow))),0,IF(OFFSET(PLE!$G$14,$M133,AZ$13)="",10^12,OFFSET(PLE!$G$14,$M133,AZ$13))))</f>
        <v>1000000000000</v>
      </c>
      <c r="BA133" s="182">
        <f ca="1">IF($D133&lt;&gt;"Serviço",0,IF(OR(AND(AUTOEVENTO="Manual",$M133=1),$M133&gt;(ROW(PLE.lastrow)-ROW(PLE.firstrow))),0,IF(OFFSET(PLE!$G$14,$M133,BA$13)="",10^12,OFFSET(PLE!$G$14,$M133,BA$13))))</f>
        <v>1000000000000</v>
      </c>
      <c r="BB133" s="182">
        <f ca="1">IF($D133&lt;&gt;"Serviço",0,IF(OR(AND(AUTOEVENTO="Manual",$M133=1),$M133&gt;(ROW(PLE.lastrow)-ROW(PLE.firstrow))),0,IF(OFFSET(PLE!$G$14,$M133,BB$13)="",10^12,OFFSET(PLE!$G$14,$M133,BB$13))))</f>
        <v>1000000000000</v>
      </c>
      <c r="BC133" s="182">
        <f ca="1">IF($D133&lt;&gt;"Serviço",0,IF(OR(AND(AUTOEVENTO="Manual",$M133=1),$M133&gt;(ROW(PLE.lastrow)-ROW(PLE.firstrow))),0,IF(OFFSET(PLE!$G$14,$M133,BC$13)="",10^12,OFFSET(PLE!$G$14,$M133,BC$13))))</f>
        <v>1000000000000</v>
      </c>
      <c r="BD133" s="182">
        <f ca="1">IF($D133&lt;&gt;"Serviço",0,IF(OR(AND(AUTOEVENTO="Manual",$M133=1),$M133&gt;(ROW(PLE.lastrow)-ROW(PLE.firstrow))),0,IF(OFFSET(PLE!$G$14,$M133,BD$13)="",10^12,OFFSET(PLE!$G$14,$M133,BD$13))))</f>
        <v>1000000000000</v>
      </c>
      <c r="BE133" s="182">
        <f ca="1">IF($D133&lt;&gt;"Serviço",0,IF(OR(AND(AUTOEVENTO="Manual",$M133=1),$M133&gt;(ROW(PLE.lastrow)-ROW(PLE.firstrow))),0,IF(OFFSET(PLE!$G$14,$M133,BE$13)="",10^12,OFFSET(PLE!$G$14,$M133,BE$13))))</f>
        <v>1000000000000</v>
      </c>
      <c r="BF133" s="182">
        <f ca="1">IF($D133&lt;&gt;"Serviço",0,IF(OR(AND(AUTOEVENTO="Manual",$M133=1),$M133&gt;(ROW(PLE.lastrow)-ROW(PLE.firstrow))),0,IF(OFFSET(PLE!$G$14,$M133,BF$13)="",10^12,OFFSET(PLE!$G$14,$M133,BF$13))))</f>
        <v>1000000000000</v>
      </c>
      <c r="BG133" s="182">
        <f ca="1">IF($D133&lt;&gt;"Serviço",0,IF(OR(AND(AUTOEVENTO="Manual",$M133=1),$M133&gt;(ROW(PLE.lastrow)-ROW(PLE.firstrow))),0,IF(OFFSET(PLE!$G$14,$M133,BG$13)="",10^12,OFFSET(PLE!$G$14,$M133,BG$13))))</f>
        <v>1000000000000</v>
      </c>
    </row>
    <row r="134" spans="1:59" ht="25.5" x14ac:dyDescent="0.2">
      <c r="A134" s="7" t="str">
        <f ca="1">IF(AUTOEVENTO="Manual",IF(K134&lt;&gt;"",MIN(VALUE(LEFT(K134,FIND(".",K134)-1)),COUNTA(EVENTOS.Lista)),0),IF(OR($B134&gt;AUTOEVENTO,$B134="S",$B134=0),SUBSTITUTE(OFFSET($A134,-1,0),IF($D134="Serviço",".",""),""),ROW(A134)-ROW($A$15)&amp;"."))</f>
        <v>112</v>
      </c>
      <c r="B134" s="7" t="str">
        <f ca="1">OFFSET(ORÇAMENTO!C$15,ROW(B134)-ROW(B$15),0)</f>
        <v>S</v>
      </c>
      <c r="C134" s="7" t="str">
        <f ca="1">OFFSET(ORÇAMENTO!L$15,ROW(C134)-ROW(C$15),0)</f>
        <v>F</v>
      </c>
      <c r="D134" s="118" t="str">
        <f ca="1">OFFSET(ORÇAMENTO!N$15,ROW(D134)-ROW(D$15),0)</f>
        <v>Serviço</v>
      </c>
      <c r="E134" s="119" t="str">
        <f ca="1">OFFSET(ORÇAMENTO!O$15,ROW(E134)-ROW(E$15),0)</f>
        <v>8.2.7.</v>
      </c>
      <c r="F134" s="172" t="str">
        <f ca="1">OFFSET(ORÇAMENTO!R$15,ROW(F134)-ROW(F$15),0)</f>
        <v>TOALHEIRO PLASTICO TIPO DISPENSER PARA PAPEL TOALHA INTERFOLHADO</v>
      </c>
      <c r="G134" s="173" t="str">
        <f ca="1">IF($D134&lt;&gt;"Serviço","",OFFSET(ORÇAMENTO!S$15,ROW(G134)-ROW(G$15),0))</f>
        <v>UN</v>
      </c>
      <c r="H134" s="124">
        <f ca="1">IF($D134&lt;&gt;"Serviço",0,IF(ACOMPANHAMENTO="BM",ROUND(OFFSET(ORÇAMENTO!AJ$15,ROW(H134)-ROW(H$15),0),15-13*ORÇAMENTO!$AF$7),SUMPRODUCT(($Q$12:$AA$12&lt;&gt;"")*ROUND($Q134:$AA134,15-13*ORÇAMENTO!$AF$7))))</f>
        <v>4</v>
      </c>
      <c r="I134" s="561"/>
      <c r="K134" s="174"/>
      <c r="L134" s="175" t="s">
        <v>255</v>
      </c>
      <c r="M134" s="176">
        <f ca="1">IF($D134&lt;&gt;"Serviço","",IF(AUTOEVENTO="manual",$A134,IF(ISERROR(MATCH($A134,$A$15:OFFSET($A134,-1,0),0)),MAX($M$15:OFFSET(M134,-1,0))+1,INDEX($M$15:OFFSET(M134,-1,0),MATCH($A134,$A$15:OFFSET($A134,-1,0),0)))))</f>
        <v>19</v>
      </c>
      <c r="N134" s="177" t="str">
        <f ca="1">IF($D134&lt;&gt;"Serviço","",IF(AUTOEVENTO="Manual",IF($A134=0,"&lt;-- defina o número do agrupador",OFFSET(EVENTOS!$D$14,$A134,0)),OFFSET($F$15,$A134,0)))</f>
        <v>ACESSÓRIOS  E ACESSIBILIDADE</v>
      </c>
      <c r="O134" s="178"/>
      <c r="Q134" s="178"/>
      <c r="R134" s="179"/>
      <c r="S134" s="179"/>
      <c r="T134" s="179"/>
      <c r="U134" s="179"/>
      <c r="V134" s="179"/>
      <c r="W134" s="179"/>
      <c r="X134" s="179"/>
      <c r="Y134" s="179"/>
      <c r="Z134" s="180"/>
      <c r="AB134" s="544">
        <f ca="1">IF(AND($D134="Serviço",AB$12&lt;&gt;0,$H134&gt;0,OR(AUTOEVENTO&lt;&gt;"manual",$M134&lt;&gt;1)),
IF(Import.TipoArredondamento&lt;&gt;"TransfereGOV",
ROUND(OFFSET($P134,0,AB$13),15-13*ORÇAMENTO!$AF$7)/$H134*OFFSET(ORÇAMENTO!$X$15,ROW(AB134)-ROW(AB$15),0),
ROUND(ROUND(OFFSET($P134,0,AB$13),15-13*ORÇAMENTO!$AF$7)*OFFSET(ORÇAMENTO!$W$15,ROW(AB134)-ROW(AB$15),0),15-13*ORÇAMENTO!$AF$11)),0)</f>
        <v>0</v>
      </c>
      <c r="AC134" s="545">
        <f ca="1">IF(AND($D134="Serviço",AC$12&lt;&gt;0,$H134&gt;0,OR(AUTOEVENTO&lt;&gt;"manual",$M134&lt;&gt;1)),
IF(Import.TipoArredondamento&lt;&gt;"TransfereGOV",
ROUND(OFFSET($P134,0,AC$13),15-13*ORÇAMENTO!$AF$7)/$H134*OFFSET(ORÇAMENTO!$X$15,ROW(AC134)-ROW(AC$15),0),
ROUND(ROUND(OFFSET($P134,0,AC$13),15-13*ORÇAMENTO!$AF$7)*OFFSET(ORÇAMENTO!$W$15,ROW(AC134)-ROW(AC$15),0),15-13*ORÇAMENTO!$AF$11)),0)</f>
        <v>0</v>
      </c>
      <c r="AD134" s="545">
        <f ca="1">IF(AND($D134="Serviço",AD$12&lt;&gt;0,$H134&gt;0,OR(AUTOEVENTO&lt;&gt;"manual",$M134&lt;&gt;1)),
IF(Import.TipoArredondamento&lt;&gt;"TransfereGOV",
ROUND(OFFSET($P134,0,AD$13),15-13*ORÇAMENTO!$AF$7)/$H134*OFFSET(ORÇAMENTO!$X$15,ROW(AD134)-ROW(AD$15),0),
ROUND(ROUND(OFFSET($P134,0,AD$13),15-13*ORÇAMENTO!$AF$7)*OFFSET(ORÇAMENTO!$W$15,ROW(AD134)-ROW(AD$15),0),15-13*ORÇAMENTO!$AF$11)),0)</f>
        <v>0</v>
      </c>
      <c r="AE134" s="545">
        <f ca="1">IF(AND($D134="Serviço",AE$12&lt;&gt;0,$H134&gt;0,OR(AUTOEVENTO&lt;&gt;"manual",$M134&lt;&gt;1)),
IF(Import.TipoArredondamento&lt;&gt;"TransfereGOV",
ROUND(OFFSET($P134,0,AE$13),15-13*ORÇAMENTO!$AF$7)/$H134*OFFSET(ORÇAMENTO!$X$15,ROW(AE134)-ROW(AE$15),0),
ROUND(ROUND(OFFSET($P134,0,AE$13),15-13*ORÇAMENTO!$AF$7)*OFFSET(ORÇAMENTO!$W$15,ROW(AE134)-ROW(AE$15),0),15-13*ORÇAMENTO!$AF$11)),0)</f>
        <v>0</v>
      </c>
      <c r="AF134" s="545">
        <f ca="1">IF(AND($D134="Serviço",AF$12&lt;&gt;0,$H134&gt;0,OR(AUTOEVENTO&lt;&gt;"manual",$M134&lt;&gt;1)),
IF(Import.TipoArredondamento&lt;&gt;"TransfereGOV",
ROUND(OFFSET($P134,0,AF$13),15-13*ORÇAMENTO!$AF$7)/$H134*OFFSET(ORÇAMENTO!$X$15,ROW(AF134)-ROW(AF$15),0),
ROUND(ROUND(OFFSET($P134,0,AF$13),15-13*ORÇAMENTO!$AF$7)*OFFSET(ORÇAMENTO!$W$15,ROW(AF134)-ROW(AF$15),0),15-13*ORÇAMENTO!$AF$11)),0)</f>
        <v>0</v>
      </c>
      <c r="AG134" s="545">
        <f ca="1">IF(AND($D134="Serviço",AG$12&lt;&gt;0,$H134&gt;0,OR(AUTOEVENTO&lt;&gt;"manual",$M134&lt;&gt;1)),
IF(Import.TipoArredondamento&lt;&gt;"TransfereGOV",
ROUND(OFFSET($P134,0,AG$13),15-13*ORÇAMENTO!$AF$7)/$H134*OFFSET(ORÇAMENTO!$X$15,ROW(AG134)-ROW(AG$15),0),
ROUND(ROUND(OFFSET($P134,0,AG$13),15-13*ORÇAMENTO!$AF$7)*OFFSET(ORÇAMENTO!$W$15,ROW(AG134)-ROW(AG$15),0),15-13*ORÇAMENTO!$AF$11)),0)</f>
        <v>0</v>
      </c>
      <c r="AH134" s="545">
        <f ca="1">IF(AND($D134="Serviço",AH$12&lt;&gt;0,$H134&gt;0,OR(AUTOEVENTO&lt;&gt;"manual",$M134&lt;&gt;1)),
IF(Import.TipoArredondamento&lt;&gt;"TransfereGOV",
ROUND(OFFSET($P134,0,AH$13),15-13*ORÇAMENTO!$AF$7)/$H134*OFFSET(ORÇAMENTO!$X$15,ROW(AH134)-ROW(AH$15),0),
ROUND(ROUND(OFFSET($P134,0,AH$13),15-13*ORÇAMENTO!$AF$7)*OFFSET(ORÇAMENTO!$W$15,ROW(AH134)-ROW(AH$15),0),15-13*ORÇAMENTO!$AF$11)),0)</f>
        <v>0</v>
      </c>
      <c r="AI134" s="545">
        <f ca="1">IF(AND($D134="Serviço",AI$12&lt;&gt;0,$H134&gt;0,OR(AUTOEVENTO&lt;&gt;"manual",$M134&lt;&gt;1)),
IF(Import.TipoArredondamento&lt;&gt;"TransfereGOV",
ROUND(OFFSET($P134,0,AI$13),15-13*ORÇAMENTO!$AF$7)/$H134*OFFSET(ORÇAMENTO!$X$15,ROW(AI134)-ROW(AI$15),0),
ROUND(ROUND(OFFSET($P134,0,AI$13),15-13*ORÇAMENTO!$AF$7)*OFFSET(ORÇAMENTO!$W$15,ROW(AI134)-ROW(AI$15),0),15-13*ORÇAMENTO!$AF$11)),0)</f>
        <v>0</v>
      </c>
      <c r="AJ134" s="545">
        <f ca="1">IF(AND($D134="Serviço",AJ$12&lt;&gt;0,$H134&gt;0,OR(AUTOEVENTO&lt;&gt;"manual",$M134&lt;&gt;1)),
IF(Import.TipoArredondamento&lt;&gt;"TransfereGOV",
ROUND(OFFSET($P134,0,AJ$13),15-13*ORÇAMENTO!$AF$7)/$H134*OFFSET(ORÇAMENTO!$X$15,ROW(AJ134)-ROW(AJ$15),0),
ROUND(ROUND(OFFSET($P134,0,AJ$13),15-13*ORÇAMENTO!$AF$7)*OFFSET(ORÇAMENTO!$W$15,ROW(AJ134)-ROW(AJ$15),0),15-13*ORÇAMENTO!$AF$11)),0)</f>
        <v>0</v>
      </c>
      <c r="AK134" s="546">
        <f ca="1">IF(AND($D134="Serviço",AK$12&lt;&gt;0,$H134&gt;0,OR(AUTOEVENTO&lt;&gt;"manual",$M134&lt;&gt;1)),
IF(Import.TipoArredondamento&lt;&gt;"TransfereGOV",
ROUND(OFFSET($P134,0,AK$13),15-13*ORÇAMENTO!$AF$7)/$H134*OFFSET(ORÇAMENTO!$X$15,ROW(AK134)-ROW(AK$15),0),
ROUND(ROUND(OFFSET($P134,0,AK$13),15-13*ORÇAMENTO!$AF$7)*OFFSET(ORÇAMENTO!$W$15,ROW(AK134)-ROW(AK$15),0),15-13*ORÇAMENTO!$AF$11)),0)</f>
        <v>0</v>
      </c>
      <c r="AM134" s="181">
        <f ca="1">IF($D134&lt;&gt;"Serviço",0,IF(AND(AUTOEVENTO="Manual",$M134=1),0,IF(OFFSET(CRONOPLE!$F$14,$M134,AM$13)="",10^12,OFFSET(CRONOPLE!$F$14,$M134,AM$13))))</f>
        <v>1000000000000</v>
      </c>
      <c r="AN134" s="181">
        <f ca="1">IF($D134&lt;&gt;"Serviço",0,IF(AND(AUTOEVENTO="Manual",$M134=1),0,IF(OFFSET(CRONOPLE!$F$14,$M134,AN$13)="",10^12,OFFSET(CRONOPLE!$F$14,$M134,AN$13))))</f>
        <v>1000000000000</v>
      </c>
      <c r="AO134" s="181">
        <f ca="1">IF($D134&lt;&gt;"Serviço",0,IF(AND(AUTOEVENTO="Manual",$M134=1),0,IF(OFFSET(CRONOPLE!$F$14,$M134,AO$13)="",10^12,OFFSET(CRONOPLE!$F$14,$M134,AO$13))))</f>
        <v>1000000000000</v>
      </c>
      <c r="AP134" s="181">
        <f ca="1">IF($D134&lt;&gt;"Serviço",0,IF(AND(AUTOEVENTO="Manual",$M134=1),0,IF(OFFSET(CRONOPLE!$F$14,$M134,AP$13)="",10^12,OFFSET(CRONOPLE!$F$14,$M134,AP$13))))</f>
        <v>1000000000000</v>
      </c>
      <c r="AQ134" s="181">
        <f ca="1">IF($D134&lt;&gt;"Serviço",0,IF(AND(AUTOEVENTO="Manual",$M134=1),0,IF(OFFSET(CRONOPLE!$F$14,$M134,AQ$13)="",10^12,OFFSET(CRONOPLE!$F$14,$M134,AQ$13))))</f>
        <v>1000000000000</v>
      </c>
      <c r="AR134" s="181">
        <f ca="1">IF($D134&lt;&gt;"Serviço",0,IF(AND(AUTOEVENTO="Manual",$M134=1),0,IF(OFFSET(CRONOPLE!$F$14,$M134,AR$13)="",10^12,OFFSET(CRONOPLE!$F$14,$M134,AR$13))))</f>
        <v>1000000000000</v>
      </c>
      <c r="AS134" s="181">
        <f ca="1">IF($D134&lt;&gt;"Serviço",0,IF(AND(AUTOEVENTO="Manual",$M134=1),0,IF(OFFSET(CRONOPLE!$F$14,$M134,AS$13)="",10^12,OFFSET(CRONOPLE!$F$14,$M134,AS$13))))</f>
        <v>1000000000000</v>
      </c>
      <c r="AT134" s="181">
        <f ca="1">IF($D134&lt;&gt;"Serviço",0,IF(AND(AUTOEVENTO="Manual",$M134=1),0,IF(OFFSET(CRONOPLE!$F$14,$M134,AT$13)="",10^12,OFFSET(CRONOPLE!$F$14,$M134,AT$13))))</f>
        <v>1000000000000</v>
      </c>
      <c r="AU134" s="181">
        <f ca="1">IF($D134&lt;&gt;"Serviço",0,IF(AND(AUTOEVENTO="Manual",$M134=1),0,IF(OFFSET(CRONOPLE!$F$14,$M134,AU$13)="",10^12,OFFSET(CRONOPLE!$F$14,$M134,AU$13))))</f>
        <v>1000000000000</v>
      </c>
      <c r="AV134" s="181">
        <f ca="1">IF($D134&lt;&gt;"Serviço",0,IF(AND(AUTOEVENTO="Manual",$M134=1),0,IF(OFFSET(CRONOPLE!$F$14,$M134,AV$13)="",10^12,OFFSET(CRONOPLE!$F$14,$M134,AV$13))))</f>
        <v>1000000000000</v>
      </c>
      <c r="AX134" s="182">
        <f ca="1">IF($D134&lt;&gt;"Serviço",0,IF(OR(AND(AUTOEVENTO="Manual",$M134=1),$M134&gt;(ROW(PLE.lastrow)-ROW(PLE.firstrow))),0,IF(OFFSET(PLE!$G$14,$M134,AX$13)="",10^12,OFFSET(PLE!$G$14,$M134,AX$13))))</f>
        <v>1000000000000</v>
      </c>
      <c r="AY134" s="182">
        <f ca="1">IF($D134&lt;&gt;"Serviço",0,IF(OR(AND(AUTOEVENTO="Manual",$M134=1),$M134&gt;(ROW(PLE.lastrow)-ROW(PLE.firstrow))),0,IF(OFFSET(PLE!$G$14,$M134,AY$13)="",10^12,OFFSET(PLE!$G$14,$M134,AY$13))))</f>
        <v>1000000000000</v>
      </c>
      <c r="AZ134" s="182">
        <f ca="1">IF($D134&lt;&gt;"Serviço",0,IF(OR(AND(AUTOEVENTO="Manual",$M134=1),$M134&gt;(ROW(PLE.lastrow)-ROW(PLE.firstrow))),0,IF(OFFSET(PLE!$G$14,$M134,AZ$13)="",10^12,OFFSET(PLE!$G$14,$M134,AZ$13))))</f>
        <v>1000000000000</v>
      </c>
      <c r="BA134" s="182">
        <f ca="1">IF($D134&lt;&gt;"Serviço",0,IF(OR(AND(AUTOEVENTO="Manual",$M134=1),$M134&gt;(ROW(PLE.lastrow)-ROW(PLE.firstrow))),0,IF(OFFSET(PLE!$G$14,$M134,BA$13)="",10^12,OFFSET(PLE!$G$14,$M134,BA$13))))</f>
        <v>1000000000000</v>
      </c>
      <c r="BB134" s="182">
        <f ca="1">IF($D134&lt;&gt;"Serviço",0,IF(OR(AND(AUTOEVENTO="Manual",$M134=1),$M134&gt;(ROW(PLE.lastrow)-ROW(PLE.firstrow))),0,IF(OFFSET(PLE!$G$14,$M134,BB$13)="",10^12,OFFSET(PLE!$G$14,$M134,BB$13))))</f>
        <v>1000000000000</v>
      </c>
      <c r="BC134" s="182">
        <f ca="1">IF($D134&lt;&gt;"Serviço",0,IF(OR(AND(AUTOEVENTO="Manual",$M134=1),$M134&gt;(ROW(PLE.lastrow)-ROW(PLE.firstrow))),0,IF(OFFSET(PLE!$G$14,$M134,BC$13)="",10^12,OFFSET(PLE!$G$14,$M134,BC$13))))</f>
        <v>1000000000000</v>
      </c>
      <c r="BD134" s="182">
        <f ca="1">IF($D134&lt;&gt;"Serviço",0,IF(OR(AND(AUTOEVENTO="Manual",$M134=1),$M134&gt;(ROW(PLE.lastrow)-ROW(PLE.firstrow))),0,IF(OFFSET(PLE!$G$14,$M134,BD$13)="",10^12,OFFSET(PLE!$G$14,$M134,BD$13))))</f>
        <v>1000000000000</v>
      </c>
      <c r="BE134" s="182">
        <f ca="1">IF($D134&lt;&gt;"Serviço",0,IF(OR(AND(AUTOEVENTO="Manual",$M134=1),$M134&gt;(ROW(PLE.lastrow)-ROW(PLE.firstrow))),0,IF(OFFSET(PLE!$G$14,$M134,BE$13)="",10^12,OFFSET(PLE!$G$14,$M134,BE$13))))</f>
        <v>1000000000000</v>
      </c>
      <c r="BF134" s="182">
        <f ca="1">IF($D134&lt;&gt;"Serviço",0,IF(OR(AND(AUTOEVENTO="Manual",$M134=1),$M134&gt;(ROW(PLE.lastrow)-ROW(PLE.firstrow))),0,IF(OFFSET(PLE!$G$14,$M134,BF$13)="",10^12,OFFSET(PLE!$G$14,$M134,BF$13))))</f>
        <v>1000000000000</v>
      </c>
      <c r="BG134" s="182">
        <f ca="1">IF($D134&lt;&gt;"Serviço",0,IF(OR(AND(AUTOEVENTO="Manual",$M134=1),$M134&gt;(ROW(PLE.lastrow)-ROW(PLE.firstrow))),0,IF(OFFSET(PLE!$G$14,$M134,BG$13)="",10^12,OFFSET(PLE!$G$14,$M134,BG$13))))</f>
        <v>1000000000000</v>
      </c>
    </row>
    <row r="135" spans="1:59" ht="25.5" x14ac:dyDescent="0.2">
      <c r="A135" s="7" t="str">
        <f t="shared" ca="1" si="13"/>
        <v>112</v>
      </c>
      <c r="B135" s="7" t="str">
        <f ca="1">OFFSET(ORÇAMENTO!C$15,ROW(B135)-ROW(B$15),0)</f>
        <v>S</v>
      </c>
      <c r="C135" s="7" t="str">
        <f ca="1">OFFSET(ORÇAMENTO!L$15,ROW(C135)-ROW(C$15),0)</f>
        <v>F</v>
      </c>
      <c r="D135" s="118" t="str">
        <f ca="1">OFFSET(ORÇAMENTO!N$15,ROW(D135)-ROW(D$15),0)</f>
        <v>Serviço</v>
      </c>
      <c r="E135" s="119" t="str">
        <f ca="1">OFFSET(ORÇAMENTO!O$15,ROW(E135)-ROW(E$15),0)</f>
        <v>8.2.8.</v>
      </c>
      <c r="F135" s="172" t="str">
        <f ca="1">OFFSET(ORÇAMENTO!R$15,ROW(F135)-ROW(F$15),0)</f>
        <v>BARRA DE APOIO RETA, EM ALUMÍNIO, COMPRIMENTO 70 CM, FIXADA NA PAREDE - FORNECIMENTO E INSTALAÇÃO. AF_02/2026</v>
      </c>
      <c r="G135" s="173" t="str">
        <f ca="1">IF($D135&lt;&gt;"Serviço","",OFFSET(ORÇAMENTO!S$15,ROW(G135)-ROW(G$15),0))</f>
        <v>UN</v>
      </c>
      <c r="H135" s="124">
        <f ca="1">IF($D135&lt;&gt;"Serviço",0,IF(ACOMPANHAMENTO="BM",ROUND(OFFSET(ORÇAMENTO!AJ$15,ROW(H135)-ROW(H$15),0),15-13*ORÇAMENTO!$AF$7),SUMPRODUCT(($Q$12:$AA$12&lt;&gt;"")*ROUND($Q135:$AA135,15-13*ORÇAMENTO!$AF$7))))</f>
        <v>6</v>
      </c>
      <c r="I135" s="561"/>
      <c r="K135" s="174"/>
      <c r="L135" s="175" t="s">
        <v>255</v>
      </c>
      <c r="M135" s="176">
        <f ca="1">IF($D135&lt;&gt;"Serviço","",IF(AUTOEVENTO="manual",$A135,IF(ISERROR(MATCH($A135,$A$15:OFFSET($A135,-1,0),0)),MAX($M$15:OFFSET(M135,-1,0))+1,INDEX($M$15:OFFSET(M135,-1,0),MATCH($A135,$A$15:OFFSET($A135,-1,0),0)))))</f>
        <v>19</v>
      </c>
      <c r="N135" s="177" t="str">
        <f ca="1">IF($D135&lt;&gt;"Serviço","",IF(AUTOEVENTO="Manual",IF($A135=0,"&lt;-- defina o número do agrupador",OFFSET(EVENTOS!$D$14,$A135,0)),OFFSET($F$15,$A135,0)))</f>
        <v>ACESSÓRIOS  E ACESSIBILIDADE</v>
      </c>
      <c r="O135" s="178"/>
      <c r="Q135" s="178"/>
      <c r="R135" s="179"/>
      <c r="S135" s="179"/>
      <c r="T135" s="179"/>
      <c r="U135" s="179"/>
      <c r="V135" s="179"/>
      <c r="W135" s="179"/>
      <c r="X135" s="179"/>
      <c r="Y135" s="179"/>
      <c r="Z135" s="180"/>
      <c r="AB135" s="544">
        <f ca="1">IF(AND($D135="Serviço",AB$12&lt;&gt;0,$H135&gt;0,OR(AUTOEVENTO&lt;&gt;"manual",$M135&lt;&gt;1)),
IF(Import.TipoArredondamento&lt;&gt;"TransfereGOV",
ROUND(OFFSET($P135,0,AB$13),15-13*ORÇAMENTO!$AF$7)/$H135*OFFSET(ORÇAMENTO!$X$15,ROW(AB135)-ROW(AB$15),0),
ROUND(ROUND(OFFSET($P135,0,AB$13),15-13*ORÇAMENTO!$AF$7)*OFFSET(ORÇAMENTO!$W$15,ROW(AB135)-ROW(AB$15),0),15-13*ORÇAMENTO!$AF$11)),0)</f>
        <v>0</v>
      </c>
      <c r="AC135" s="545">
        <f ca="1">IF(AND($D135="Serviço",AC$12&lt;&gt;0,$H135&gt;0,OR(AUTOEVENTO&lt;&gt;"manual",$M135&lt;&gt;1)),
IF(Import.TipoArredondamento&lt;&gt;"TransfereGOV",
ROUND(OFFSET($P135,0,AC$13),15-13*ORÇAMENTO!$AF$7)/$H135*OFFSET(ORÇAMENTO!$X$15,ROW(AC135)-ROW(AC$15),0),
ROUND(ROUND(OFFSET($P135,0,AC$13),15-13*ORÇAMENTO!$AF$7)*OFFSET(ORÇAMENTO!$W$15,ROW(AC135)-ROW(AC$15),0),15-13*ORÇAMENTO!$AF$11)),0)</f>
        <v>0</v>
      </c>
      <c r="AD135" s="545">
        <f ca="1">IF(AND($D135="Serviço",AD$12&lt;&gt;0,$H135&gt;0,OR(AUTOEVENTO&lt;&gt;"manual",$M135&lt;&gt;1)),
IF(Import.TipoArredondamento&lt;&gt;"TransfereGOV",
ROUND(OFFSET($P135,0,AD$13),15-13*ORÇAMENTO!$AF$7)/$H135*OFFSET(ORÇAMENTO!$X$15,ROW(AD135)-ROW(AD$15),0),
ROUND(ROUND(OFFSET($P135,0,AD$13),15-13*ORÇAMENTO!$AF$7)*OFFSET(ORÇAMENTO!$W$15,ROW(AD135)-ROW(AD$15),0),15-13*ORÇAMENTO!$AF$11)),0)</f>
        <v>0</v>
      </c>
      <c r="AE135" s="545">
        <f ca="1">IF(AND($D135="Serviço",AE$12&lt;&gt;0,$H135&gt;0,OR(AUTOEVENTO&lt;&gt;"manual",$M135&lt;&gt;1)),
IF(Import.TipoArredondamento&lt;&gt;"TransfereGOV",
ROUND(OFFSET($P135,0,AE$13),15-13*ORÇAMENTO!$AF$7)/$H135*OFFSET(ORÇAMENTO!$X$15,ROW(AE135)-ROW(AE$15),0),
ROUND(ROUND(OFFSET($P135,0,AE$13),15-13*ORÇAMENTO!$AF$7)*OFFSET(ORÇAMENTO!$W$15,ROW(AE135)-ROW(AE$15),0),15-13*ORÇAMENTO!$AF$11)),0)</f>
        <v>0</v>
      </c>
      <c r="AF135" s="545">
        <f ca="1">IF(AND($D135="Serviço",AF$12&lt;&gt;0,$H135&gt;0,OR(AUTOEVENTO&lt;&gt;"manual",$M135&lt;&gt;1)),
IF(Import.TipoArredondamento&lt;&gt;"TransfereGOV",
ROUND(OFFSET($P135,0,AF$13),15-13*ORÇAMENTO!$AF$7)/$H135*OFFSET(ORÇAMENTO!$X$15,ROW(AF135)-ROW(AF$15),0),
ROUND(ROUND(OFFSET($P135,0,AF$13),15-13*ORÇAMENTO!$AF$7)*OFFSET(ORÇAMENTO!$W$15,ROW(AF135)-ROW(AF$15),0),15-13*ORÇAMENTO!$AF$11)),0)</f>
        <v>0</v>
      </c>
      <c r="AG135" s="545">
        <f ca="1">IF(AND($D135="Serviço",AG$12&lt;&gt;0,$H135&gt;0,OR(AUTOEVENTO&lt;&gt;"manual",$M135&lt;&gt;1)),
IF(Import.TipoArredondamento&lt;&gt;"TransfereGOV",
ROUND(OFFSET($P135,0,AG$13),15-13*ORÇAMENTO!$AF$7)/$H135*OFFSET(ORÇAMENTO!$X$15,ROW(AG135)-ROW(AG$15),0),
ROUND(ROUND(OFFSET($P135,0,AG$13),15-13*ORÇAMENTO!$AF$7)*OFFSET(ORÇAMENTO!$W$15,ROW(AG135)-ROW(AG$15),0),15-13*ORÇAMENTO!$AF$11)),0)</f>
        <v>0</v>
      </c>
      <c r="AH135" s="545">
        <f ca="1">IF(AND($D135="Serviço",AH$12&lt;&gt;0,$H135&gt;0,OR(AUTOEVENTO&lt;&gt;"manual",$M135&lt;&gt;1)),
IF(Import.TipoArredondamento&lt;&gt;"TransfereGOV",
ROUND(OFFSET($P135,0,AH$13),15-13*ORÇAMENTO!$AF$7)/$H135*OFFSET(ORÇAMENTO!$X$15,ROW(AH135)-ROW(AH$15),0),
ROUND(ROUND(OFFSET($P135,0,AH$13),15-13*ORÇAMENTO!$AF$7)*OFFSET(ORÇAMENTO!$W$15,ROW(AH135)-ROW(AH$15),0),15-13*ORÇAMENTO!$AF$11)),0)</f>
        <v>0</v>
      </c>
      <c r="AI135" s="545">
        <f ca="1">IF(AND($D135="Serviço",AI$12&lt;&gt;0,$H135&gt;0,OR(AUTOEVENTO&lt;&gt;"manual",$M135&lt;&gt;1)),
IF(Import.TipoArredondamento&lt;&gt;"TransfereGOV",
ROUND(OFFSET($P135,0,AI$13),15-13*ORÇAMENTO!$AF$7)/$H135*OFFSET(ORÇAMENTO!$X$15,ROW(AI135)-ROW(AI$15),0),
ROUND(ROUND(OFFSET($P135,0,AI$13),15-13*ORÇAMENTO!$AF$7)*OFFSET(ORÇAMENTO!$W$15,ROW(AI135)-ROW(AI$15),0),15-13*ORÇAMENTO!$AF$11)),0)</f>
        <v>0</v>
      </c>
      <c r="AJ135" s="545">
        <f ca="1">IF(AND($D135="Serviço",AJ$12&lt;&gt;0,$H135&gt;0,OR(AUTOEVENTO&lt;&gt;"manual",$M135&lt;&gt;1)),
IF(Import.TipoArredondamento&lt;&gt;"TransfereGOV",
ROUND(OFFSET($P135,0,AJ$13),15-13*ORÇAMENTO!$AF$7)/$H135*OFFSET(ORÇAMENTO!$X$15,ROW(AJ135)-ROW(AJ$15),0),
ROUND(ROUND(OFFSET($P135,0,AJ$13),15-13*ORÇAMENTO!$AF$7)*OFFSET(ORÇAMENTO!$W$15,ROW(AJ135)-ROW(AJ$15),0),15-13*ORÇAMENTO!$AF$11)),0)</f>
        <v>0</v>
      </c>
      <c r="AK135" s="546">
        <f ca="1">IF(AND($D135="Serviço",AK$12&lt;&gt;0,$H135&gt;0,OR(AUTOEVENTO&lt;&gt;"manual",$M135&lt;&gt;1)),
IF(Import.TipoArredondamento&lt;&gt;"TransfereGOV",
ROUND(OFFSET($P135,0,AK$13),15-13*ORÇAMENTO!$AF$7)/$H135*OFFSET(ORÇAMENTO!$X$15,ROW(AK135)-ROW(AK$15),0),
ROUND(ROUND(OFFSET($P135,0,AK$13),15-13*ORÇAMENTO!$AF$7)*OFFSET(ORÇAMENTO!$W$15,ROW(AK135)-ROW(AK$15),0),15-13*ORÇAMENTO!$AF$11)),0)</f>
        <v>0</v>
      </c>
      <c r="AM135" s="181">
        <f ca="1">IF($D135&lt;&gt;"Serviço",0,IF(AND(AUTOEVENTO="Manual",$M135=1),0,IF(OFFSET(CRONOPLE!$F$14,$M135,AM$13)="",10^12,OFFSET(CRONOPLE!$F$14,$M135,AM$13))))</f>
        <v>1000000000000</v>
      </c>
      <c r="AN135" s="181">
        <f ca="1">IF($D135&lt;&gt;"Serviço",0,IF(AND(AUTOEVENTO="Manual",$M135=1),0,IF(OFFSET(CRONOPLE!$F$14,$M135,AN$13)="",10^12,OFFSET(CRONOPLE!$F$14,$M135,AN$13))))</f>
        <v>1000000000000</v>
      </c>
      <c r="AO135" s="181">
        <f ca="1">IF($D135&lt;&gt;"Serviço",0,IF(AND(AUTOEVENTO="Manual",$M135=1),0,IF(OFFSET(CRONOPLE!$F$14,$M135,AO$13)="",10^12,OFFSET(CRONOPLE!$F$14,$M135,AO$13))))</f>
        <v>1000000000000</v>
      </c>
      <c r="AP135" s="181">
        <f ca="1">IF($D135&lt;&gt;"Serviço",0,IF(AND(AUTOEVENTO="Manual",$M135=1),0,IF(OFFSET(CRONOPLE!$F$14,$M135,AP$13)="",10^12,OFFSET(CRONOPLE!$F$14,$M135,AP$13))))</f>
        <v>1000000000000</v>
      </c>
      <c r="AQ135" s="181">
        <f ca="1">IF($D135&lt;&gt;"Serviço",0,IF(AND(AUTOEVENTO="Manual",$M135=1),0,IF(OFFSET(CRONOPLE!$F$14,$M135,AQ$13)="",10^12,OFFSET(CRONOPLE!$F$14,$M135,AQ$13))))</f>
        <v>1000000000000</v>
      </c>
      <c r="AR135" s="181">
        <f ca="1">IF($D135&lt;&gt;"Serviço",0,IF(AND(AUTOEVENTO="Manual",$M135=1),0,IF(OFFSET(CRONOPLE!$F$14,$M135,AR$13)="",10^12,OFFSET(CRONOPLE!$F$14,$M135,AR$13))))</f>
        <v>1000000000000</v>
      </c>
      <c r="AS135" s="181">
        <f ca="1">IF($D135&lt;&gt;"Serviço",0,IF(AND(AUTOEVENTO="Manual",$M135=1),0,IF(OFFSET(CRONOPLE!$F$14,$M135,AS$13)="",10^12,OFFSET(CRONOPLE!$F$14,$M135,AS$13))))</f>
        <v>1000000000000</v>
      </c>
      <c r="AT135" s="181">
        <f ca="1">IF($D135&lt;&gt;"Serviço",0,IF(AND(AUTOEVENTO="Manual",$M135=1),0,IF(OFFSET(CRONOPLE!$F$14,$M135,AT$13)="",10^12,OFFSET(CRONOPLE!$F$14,$M135,AT$13))))</f>
        <v>1000000000000</v>
      </c>
      <c r="AU135" s="181">
        <f ca="1">IF($D135&lt;&gt;"Serviço",0,IF(AND(AUTOEVENTO="Manual",$M135=1),0,IF(OFFSET(CRONOPLE!$F$14,$M135,AU$13)="",10^12,OFFSET(CRONOPLE!$F$14,$M135,AU$13))))</f>
        <v>1000000000000</v>
      </c>
      <c r="AV135" s="181">
        <f ca="1">IF($D135&lt;&gt;"Serviço",0,IF(AND(AUTOEVENTO="Manual",$M135=1),0,IF(OFFSET(CRONOPLE!$F$14,$M135,AV$13)="",10^12,OFFSET(CRONOPLE!$F$14,$M135,AV$13))))</f>
        <v>1000000000000</v>
      </c>
      <c r="AX135" s="182">
        <f ca="1">IF($D135&lt;&gt;"Serviço",0,IF(OR(AND(AUTOEVENTO="Manual",$M135=1),$M135&gt;(ROW(PLE.lastrow)-ROW(PLE.firstrow))),0,IF(OFFSET(PLE!$G$14,$M135,AX$13)="",10^12,OFFSET(PLE!$G$14,$M135,AX$13))))</f>
        <v>1000000000000</v>
      </c>
      <c r="AY135" s="182">
        <f ca="1">IF($D135&lt;&gt;"Serviço",0,IF(OR(AND(AUTOEVENTO="Manual",$M135=1),$M135&gt;(ROW(PLE.lastrow)-ROW(PLE.firstrow))),0,IF(OFFSET(PLE!$G$14,$M135,AY$13)="",10^12,OFFSET(PLE!$G$14,$M135,AY$13))))</f>
        <v>1000000000000</v>
      </c>
      <c r="AZ135" s="182">
        <f ca="1">IF($D135&lt;&gt;"Serviço",0,IF(OR(AND(AUTOEVENTO="Manual",$M135=1),$M135&gt;(ROW(PLE.lastrow)-ROW(PLE.firstrow))),0,IF(OFFSET(PLE!$G$14,$M135,AZ$13)="",10^12,OFFSET(PLE!$G$14,$M135,AZ$13))))</f>
        <v>1000000000000</v>
      </c>
      <c r="BA135" s="182">
        <f ca="1">IF($D135&lt;&gt;"Serviço",0,IF(OR(AND(AUTOEVENTO="Manual",$M135=1),$M135&gt;(ROW(PLE.lastrow)-ROW(PLE.firstrow))),0,IF(OFFSET(PLE!$G$14,$M135,BA$13)="",10^12,OFFSET(PLE!$G$14,$M135,BA$13))))</f>
        <v>1000000000000</v>
      </c>
      <c r="BB135" s="182">
        <f ca="1">IF($D135&lt;&gt;"Serviço",0,IF(OR(AND(AUTOEVENTO="Manual",$M135=1),$M135&gt;(ROW(PLE.lastrow)-ROW(PLE.firstrow))),0,IF(OFFSET(PLE!$G$14,$M135,BB$13)="",10^12,OFFSET(PLE!$G$14,$M135,BB$13))))</f>
        <v>1000000000000</v>
      </c>
      <c r="BC135" s="182">
        <f ca="1">IF($D135&lt;&gt;"Serviço",0,IF(OR(AND(AUTOEVENTO="Manual",$M135=1),$M135&gt;(ROW(PLE.lastrow)-ROW(PLE.firstrow))),0,IF(OFFSET(PLE!$G$14,$M135,BC$13)="",10^12,OFFSET(PLE!$G$14,$M135,BC$13))))</f>
        <v>1000000000000</v>
      </c>
      <c r="BD135" s="182">
        <f ca="1">IF($D135&lt;&gt;"Serviço",0,IF(OR(AND(AUTOEVENTO="Manual",$M135=1),$M135&gt;(ROW(PLE.lastrow)-ROW(PLE.firstrow))),0,IF(OFFSET(PLE!$G$14,$M135,BD$13)="",10^12,OFFSET(PLE!$G$14,$M135,BD$13))))</f>
        <v>1000000000000</v>
      </c>
      <c r="BE135" s="182">
        <f ca="1">IF($D135&lt;&gt;"Serviço",0,IF(OR(AND(AUTOEVENTO="Manual",$M135=1),$M135&gt;(ROW(PLE.lastrow)-ROW(PLE.firstrow))),0,IF(OFFSET(PLE!$G$14,$M135,BE$13)="",10^12,OFFSET(PLE!$G$14,$M135,BE$13))))</f>
        <v>1000000000000</v>
      </c>
      <c r="BF135" s="182">
        <f ca="1">IF($D135&lt;&gt;"Serviço",0,IF(OR(AND(AUTOEVENTO="Manual",$M135=1),$M135&gt;(ROW(PLE.lastrow)-ROW(PLE.firstrow))),0,IF(OFFSET(PLE!$G$14,$M135,BF$13)="",10^12,OFFSET(PLE!$G$14,$M135,BF$13))))</f>
        <v>1000000000000</v>
      </c>
      <c r="BG135" s="182">
        <f ca="1">IF($D135&lt;&gt;"Serviço",0,IF(OR(AND(AUTOEVENTO="Manual",$M135=1),$M135&gt;(ROW(PLE.lastrow)-ROW(PLE.firstrow))),0,IF(OFFSET(PLE!$G$14,$M135,BG$13)="",10^12,OFFSET(PLE!$G$14,$M135,BG$13))))</f>
        <v>1000000000000</v>
      </c>
    </row>
    <row r="136" spans="1:59" ht="25.5" x14ac:dyDescent="0.2">
      <c r="A136" s="7" t="str">
        <f t="shared" ca="1" si="13"/>
        <v>112</v>
      </c>
      <c r="B136" s="7" t="str">
        <f ca="1">OFFSET(ORÇAMENTO!C$15,ROW(B136)-ROW(B$15),0)</f>
        <v>S</v>
      </c>
      <c r="C136" s="7" t="str">
        <f ca="1">OFFSET(ORÇAMENTO!L$15,ROW(C136)-ROW(C$15),0)</f>
        <v>F</v>
      </c>
      <c r="D136" s="118" t="str">
        <f ca="1">OFFSET(ORÇAMENTO!N$15,ROW(D136)-ROW(D$15),0)</f>
        <v>Serviço</v>
      </c>
      <c r="E136" s="119" t="str">
        <f ca="1">OFFSET(ORÇAMENTO!O$15,ROW(E136)-ROW(E$15),0)</f>
        <v>8.2.9.</v>
      </c>
      <c r="F136" s="172" t="str">
        <f ca="1">OFFSET(ORÇAMENTO!R$15,ROW(F136)-ROW(F$15),0)</f>
        <v>BARRA DE APOIO RETA, EM ALUMÍNIO, COMPRIMENTO 80 CM, FIXADA NA PAREDE - FORNECIMENTO E INSTALAÇÃO. AF_02/2026</v>
      </c>
      <c r="G136" s="173" t="str">
        <f ca="1">IF($D136&lt;&gt;"Serviço","",OFFSET(ORÇAMENTO!S$15,ROW(G136)-ROW(G$15),0))</f>
        <v>UN</v>
      </c>
      <c r="H136" s="124">
        <f ca="1">IF($D136&lt;&gt;"Serviço",0,IF(ACOMPANHAMENTO="BM",ROUND(OFFSET(ORÇAMENTO!AJ$15,ROW(H136)-ROW(H$15),0),15-13*ORÇAMENTO!$AF$7),SUMPRODUCT(($Q$12:$AA$12&lt;&gt;"")*ROUND($Q136:$AA136,15-13*ORÇAMENTO!$AF$7))))</f>
        <v>4</v>
      </c>
      <c r="I136" s="561"/>
      <c r="K136" s="174"/>
      <c r="L136" s="175" t="s">
        <v>255</v>
      </c>
      <c r="M136" s="176">
        <f ca="1">IF($D136&lt;&gt;"Serviço","",IF(AUTOEVENTO="manual",$A136,IF(ISERROR(MATCH($A136,$A$15:OFFSET($A136,-1,0),0)),MAX($M$15:OFFSET(M136,-1,0))+1,INDEX($M$15:OFFSET(M136,-1,0),MATCH($A136,$A$15:OFFSET($A136,-1,0),0)))))</f>
        <v>19</v>
      </c>
      <c r="N136" s="177" t="str">
        <f ca="1">IF($D136&lt;&gt;"Serviço","",IF(AUTOEVENTO="Manual",IF($A136=0,"&lt;-- defina o número do agrupador",OFFSET(EVENTOS!$D$14,$A136,0)),OFFSET($F$15,$A136,0)))</f>
        <v>ACESSÓRIOS  E ACESSIBILIDADE</v>
      </c>
      <c r="O136" s="178"/>
      <c r="Q136" s="178"/>
      <c r="R136" s="179"/>
      <c r="S136" s="179"/>
      <c r="T136" s="179"/>
      <c r="U136" s="179"/>
      <c r="V136" s="179"/>
      <c r="W136" s="179"/>
      <c r="X136" s="179"/>
      <c r="Y136" s="179"/>
      <c r="Z136" s="180"/>
      <c r="AB136" s="544">
        <f ca="1">IF(AND($D136="Serviço",AB$12&lt;&gt;0,$H136&gt;0,OR(AUTOEVENTO&lt;&gt;"manual",$M136&lt;&gt;1)),
IF(Import.TipoArredondamento&lt;&gt;"TransfereGOV",
ROUND(OFFSET($P136,0,AB$13),15-13*ORÇAMENTO!$AF$7)/$H136*OFFSET(ORÇAMENTO!$X$15,ROW(AB136)-ROW(AB$15),0),
ROUND(ROUND(OFFSET($P136,0,AB$13),15-13*ORÇAMENTO!$AF$7)*OFFSET(ORÇAMENTO!$W$15,ROW(AB136)-ROW(AB$15),0),15-13*ORÇAMENTO!$AF$11)),0)</f>
        <v>0</v>
      </c>
      <c r="AC136" s="545">
        <f ca="1">IF(AND($D136="Serviço",AC$12&lt;&gt;0,$H136&gt;0,OR(AUTOEVENTO&lt;&gt;"manual",$M136&lt;&gt;1)),
IF(Import.TipoArredondamento&lt;&gt;"TransfereGOV",
ROUND(OFFSET($P136,0,AC$13),15-13*ORÇAMENTO!$AF$7)/$H136*OFFSET(ORÇAMENTO!$X$15,ROW(AC136)-ROW(AC$15),0),
ROUND(ROUND(OFFSET($P136,0,AC$13),15-13*ORÇAMENTO!$AF$7)*OFFSET(ORÇAMENTO!$W$15,ROW(AC136)-ROW(AC$15),0),15-13*ORÇAMENTO!$AF$11)),0)</f>
        <v>0</v>
      </c>
      <c r="AD136" s="545">
        <f ca="1">IF(AND($D136="Serviço",AD$12&lt;&gt;0,$H136&gt;0,OR(AUTOEVENTO&lt;&gt;"manual",$M136&lt;&gt;1)),
IF(Import.TipoArredondamento&lt;&gt;"TransfereGOV",
ROUND(OFFSET($P136,0,AD$13),15-13*ORÇAMENTO!$AF$7)/$H136*OFFSET(ORÇAMENTO!$X$15,ROW(AD136)-ROW(AD$15),0),
ROUND(ROUND(OFFSET($P136,0,AD$13),15-13*ORÇAMENTO!$AF$7)*OFFSET(ORÇAMENTO!$W$15,ROW(AD136)-ROW(AD$15),0),15-13*ORÇAMENTO!$AF$11)),0)</f>
        <v>0</v>
      </c>
      <c r="AE136" s="545">
        <f ca="1">IF(AND($D136="Serviço",AE$12&lt;&gt;0,$H136&gt;0,OR(AUTOEVENTO&lt;&gt;"manual",$M136&lt;&gt;1)),
IF(Import.TipoArredondamento&lt;&gt;"TransfereGOV",
ROUND(OFFSET($P136,0,AE$13),15-13*ORÇAMENTO!$AF$7)/$H136*OFFSET(ORÇAMENTO!$X$15,ROW(AE136)-ROW(AE$15),0),
ROUND(ROUND(OFFSET($P136,0,AE$13),15-13*ORÇAMENTO!$AF$7)*OFFSET(ORÇAMENTO!$W$15,ROW(AE136)-ROW(AE$15),0),15-13*ORÇAMENTO!$AF$11)),0)</f>
        <v>0</v>
      </c>
      <c r="AF136" s="545">
        <f ca="1">IF(AND($D136="Serviço",AF$12&lt;&gt;0,$H136&gt;0,OR(AUTOEVENTO&lt;&gt;"manual",$M136&lt;&gt;1)),
IF(Import.TipoArredondamento&lt;&gt;"TransfereGOV",
ROUND(OFFSET($P136,0,AF$13),15-13*ORÇAMENTO!$AF$7)/$H136*OFFSET(ORÇAMENTO!$X$15,ROW(AF136)-ROW(AF$15),0),
ROUND(ROUND(OFFSET($P136,0,AF$13),15-13*ORÇAMENTO!$AF$7)*OFFSET(ORÇAMENTO!$W$15,ROW(AF136)-ROW(AF$15),0),15-13*ORÇAMENTO!$AF$11)),0)</f>
        <v>0</v>
      </c>
      <c r="AG136" s="545">
        <f ca="1">IF(AND($D136="Serviço",AG$12&lt;&gt;0,$H136&gt;0,OR(AUTOEVENTO&lt;&gt;"manual",$M136&lt;&gt;1)),
IF(Import.TipoArredondamento&lt;&gt;"TransfereGOV",
ROUND(OFFSET($P136,0,AG$13),15-13*ORÇAMENTO!$AF$7)/$H136*OFFSET(ORÇAMENTO!$X$15,ROW(AG136)-ROW(AG$15),0),
ROUND(ROUND(OFFSET($P136,0,AG$13),15-13*ORÇAMENTO!$AF$7)*OFFSET(ORÇAMENTO!$W$15,ROW(AG136)-ROW(AG$15),0),15-13*ORÇAMENTO!$AF$11)),0)</f>
        <v>0</v>
      </c>
      <c r="AH136" s="545">
        <f ca="1">IF(AND($D136="Serviço",AH$12&lt;&gt;0,$H136&gt;0,OR(AUTOEVENTO&lt;&gt;"manual",$M136&lt;&gt;1)),
IF(Import.TipoArredondamento&lt;&gt;"TransfereGOV",
ROUND(OFFSET($P136,0,AH$13),15-13*ORÇAMENTO!$AF$7)/$H136*OFFSET(ORÇAMENTO!$X$15,ROW(AH136)-ROW(AH$15),0),
ROUND(ROUND(OFFSET($P136,0,AH$13),15-13*ORÇAMENTO!$AF$7)*OFFSET(ORÇAMENTO!$W$15,ROW(AH136)-ROW(AH$15),0),15-13*ORÇAMENTO!$AF$11)),0)</f>
        <v>0</v>
      </c>
      <c r="AI136" s="545">
        <f ca="1">IF(AND($D136="Serviço",AI$12&lt;&gt;0,$H136&gt;0,OR(AUTOEVENTO&lt;&gt;"manual",$M136&lt;&gt;1)),
IF(Import.TipoArredondamento&lt;&gt;"TransfereGOV",
ROUND(OFFSET($P136,0,AI$13),15-13*ORÇAMENTO!$AF$7)/$H136*OFFSET(ORÇAMENTO!$X$15,ROW(AI136)-ROW(AI$15),0),
ROUND(ROUND(OFFSET($P136,0,AI$13),15-13*ORÇAMENTO!$AF$7)*OFFSET(ORÇAMENTO!$W$15,ROW(AI136)-ROW(AI$15),0),15-13*ORÇAMENTO!$AF$11)),0)</f>
        <v>0</v>
      </c>
      <c r="AJ136" s="545">
        <f ca="1">IF(AND($D136="Serviço",AJ$12&lt;&gt;0,$H136&gt;0,OR(AUTOEVENTO&lt;&gt;"manual",$M136&lt;&gt;1)),
IF(Import.TipoArredondamento&lt;&gt;"TransfereGOV",
ROUND(OFFSET($P136,0,AJ$13),15-13*ORÇAMENTO!$AF$7)/$H136*OFFSET(ORÇAMENTO!$X$15,ROW(AJ136)-ROW(AJ$15),0),
ROUND(ROUND(OFFSET($P136,0,AJ$13),15-13*ORÇAMENTO!$AF$7)*OFFSET(ORÇAMENTO!$W$15,ROW(AJ136)-ROW(AJ$15),0),15-13*ORÇAMENTO!$AF$11)),0)</f>
        <v>0</v>
      </c>
      <c r="AK136" s="546">
        <f ca="1">IF(AND($D136="Serviço",AK$12&lt;&gt;0,$H136&gt;0,OR(AUTOEVENTO&lt;&gt;"manual",$M136&lt;&gt;1)),
IF(Import.TipoArredondamento&lt;&gt;"TransfereGOV",
ROUND(OFFSET($P136,0,AK$13),15-13*ORÇAMENTO!$AF$7)/$H136*OFFSET(ORÇAMENTO!$X$15,ROW(AK136)-ROW(AK$15),0),
ROUND(ROUND(OFFSET($P136,0,AK$13),15-13*ORÇAMENTO!$AF$7)*OFFSET(ORÇAMENTO!$W$15,ROW(AK136)-ROW(AK$15),0),15-13*ORÇAMENTO!$AF$11)),0)</f>
        <v>0</v>
      </c>
      <c r="AM136" s="181">
        <f ca="1">IF($D136&lt;&gt;"Serviço",0,IF(AND(AUTOEVENTO="Manual",$M136=1),0,IF(OFFSET(CRONOPLE!$F$14,$M136,AM$13)="",10^12,OFFSET(CRONOPLE!$F$14,$M136,AM$13))))</f>
        <v>1000000000000</v>
      </c>
      <c r="AN136" s="181">
        <f ca="1">IF($D136&lt;&gt;"Serviço",0,IF(AND(AUTOEVENTO="Manual",$M136=1),0,IF(OFFSET(CRONOPLE!$F$14,$M136,AN$13)="",10^12,OFFSET(CRONOPLE!$F$14,$M136,AN$13))))</f>
        <v>1000000000000</v>
      </c>
      <c r="AO136" s="181">
        <f ca="1">IF($D136&lt;&gt;"Serviço",0,IF(AND(AUTOEVENTO="Manual",$M136=1),0,IF(OFFSET(CRONOPLE!$F$14,$M136,AO$13)="",10^12,OFFSET(CRONOPLE!$F$14,$M136,AO$13))))</f>
        <v>1000000000000</v>
      </c>
      <c r="AP136" s="181">
        <f ca="1">IF($D136&lt;&gt;"Serviço",0,IF(AND(AUTOEVENTO="Manual",$M136=1),0,IF(OFFSET(CRONOPLE!$F$14,$M136,AP$13)="",10^12,OFFSET(CRONOPLE!$F$14,$M136,AP$13))))</f>
        <v>1000000000000</v>
      </c>
      <c r="AQ136" s="181">
        <f ca="1">IF($D136&lt;&gt;"Serviço",0,IF(AND(AUTOEVENTO="Manual",$M136=1),0,IF(OFFSET(CRONOPLE!$F$14,$M136,AQ$13)="",10^12,OFFSET(CRONOPLE!$F$14,$M136,AQ$13))))</f>
        <v>1000000000000</v>
      </c>
      <c r="AR136" s="181">
        <f ca="1">IF($D136&lt;&gt;"Serviço",0,IF(AND(AUTOEVENTO="Manual",$M136=1),0,IF(OFFSET(CRONOPLE!$F$14,$M136,AR$13)="",10^12,OFFSET(CRONOPLE!$F$14,$M136,AR$13))))</f>
        <v>1000000000000</v>
      </c>
      <c r="AS136" s="181">
        <f ca="1">IF($D136&lt;&gt;"Serviço",0,IF(AND(AUTOEVENTO="Manual",$M136=1),0,IF(OFFSET(CRONOPLE!$F$14,$M136,AS$13)="",10^12,OFFSET(CRONOPLE!$F$14,$M136,AS$13))))</f>
        <v>1000000000000</v>
      </c>
      <c r="AT136" s="181">
        <f ca="1">IF($D136&lt;&gt;"Serviço",0,IF(AND(AUTOEVENTO="Manual",$M136=1),0,IF(OFFSET(CRONOPLE!$F$14,$M136,AT$13)="",10^12,OFFSET(CRONOPLE!$F$14,$M136,AT$13))))</f>
        <v>1000000000000</v>
      </c>
      <c r="AU136" s="181">
        <f ca="1">IF($D136&lt;&gt;"Serviço",0,IF(AND(AUTOEVENTO="Manual",$M136=1),0,IF(OFFSET(CRONOPLE!$F$14,$M136,AU$13)="",10^12,OFFSET(CRONOPLE!$F$14,$M136,AU$13))))</f>
        <v>1000000000000</v>
      </c>
      <c r="AV136" s="181">
        <f ca="1">IF($D136&lt;&gt;"Serviço",0,IF(AND(AUTOEVENTO="Manual",$M136=1),0,IF(OFFSET(CRONOPLE!$F$14,$M136,AV$13)="",10^12,OFFSET(CRONOPLE!$F$14,$M136,AV$13))))</f>
        <v>1000000000000</v>
      </c>
      <c r="AX136" s="182">
        <f ca="1">IF($D136&lt;&gt;"Serviço",0,IF(OR(AND(AUTOEVENTO="Manual",$M136=1),$M136&gt;(ROW(PLE.lastrow)-ROW(PLE.firstrow))),0,IF(OFFSET(PLE!$G$14,$M136,AX$13)="",10^12,OFFSET(PLE!$G$14,$M136,AX$13))))</f>
        <v>1000000000000</v>
      </c>
      <c r="AY136" s="182">
        <f ca="1">IF($D136&lt;&gt;"Serviço",0,IF(OR(AND(AUTOEVENTO="Manual",$M136=1),$M136&gt;(ROW(PLE.lastrow)-ROW(PLE.firstrow))),0,IF(OFFSET(PLE!$G$14,$M136,AY$13)="",10^12,OFFSET(PLE!$G$14,$M136,AY$13))))</f>
        <v>1000000000000</v>
      </c>
      <c r="AZ136" s="182">
        <f ca="1">IF($D136&lt;&gt;"Serviço",0,IF(OR(AND(AUTOEVENTO="Manual",$M136=1),$M136&gt;(ROW(PLE.lastrow)-ROW(PLE.firstrow))),0,IF(OFFSET(PLE!$G$14,$M136,AZ$13)="",10^12,OFFSET(PLE!$G$14,$M136,AZ$13))))</f>
        <v>1000000000000</v>
      </c>
      <c r="BA136" s="182">
        <f ca="1">IF($D136&lt;&gt;"Serviço",0,IF(OR(AND(AUTOEVENTO="Manual",$M136=1),$M136&gt;(ROW(PLE.lastrow)-ROW(PLE.firstrow))),0,IF(OFFSET(PLE!$G$14,$M136,BA$13)="",10^12,OFFSET(PLE!$G$14,$M136,BA$13))))</f>
        <v>1000000000000</v>
      </c>
      <c r="BB136" s="182">
        <f ca="1">IF($D136&lt;&gt;"Serviço",0,IF(OR(AND(AUTOEVENTO="Manual",$M136=1),$M136&gt;(ROW(PLE.lastrow)-ROW(PLE.firstrow))),0,IF(OFFSET(PLE!$G$14,$M136,BB$13)="",10^12,OFFSET(PLE!$G$14,$M136,BB$13))))</f>
        <v>1000000000000</v>
      </c>
      <c r="BC136" s="182">
        <f ca="1">IF($D136&lt;&gt;"Serviço",0,IF(OR(AND(AUTOEVENTO="Manual",$M136=1),$M136&gt;(ROW(PLE.lastrow)-ROW(PLE.firstrow))),0,IF(OFFSET(PLE!$G$14,$M136,BC$13)="",10^12,OFFSET(PLE!$G$14,$M136,BC$13))))</f>
        <v>1000000000000</v>
      </c>
      <c r="BD136" s="182">
        <f ca="1">IF($D136&lt;&gt;"Serviço",0,IF(OR(AND(AUTOEVENTO="Manual",$M136=1),$M136&gt;(ROW(PLE.lastrow)-ROW(PLE.firstrow))),0,IF(OFFSET(PLE!$G$14,$M136,BD$13)="",10^12,OFFSET(PLE!$G$14,$M136,BD$13))))</f>
        <v>1000000000000</v>
      </c>
      <c r="BE136" s="182">
        <f ca="1">IF($D136&lt;&gt;"Serviço",0,IF(OR(AND(AUTOEVENTO="Manual",$M136=1),$M136&gt;(ROW(PLE.lastrow)-ROW(PLE.firstrow))),0,IF(OFFSET(PLE!$G$14,$M136,BE$13)="",10^12,OFFSET(PLE!$G$14,$M136,BE$13))))</f>
        <v>1000000000000</v>
      </c>
      <c r="BF136" s="182">
        <f ca="1">IF($D136&lt;&gt;"Serviço",0,IF(OR(AND(AUTOEVENTO="Manual",$M136=1),$M136&gt;(ROW(PLE.lastrow)-ROW(PLE.firstrow))),0,IF(OFFSET(PLE!$G$14,$M136,BF$13)="",10^12,OFFSET(PLE!$G$14,$M136,BF$13))))</f>
        <v>1000000000000</v>
      </c>
      <c r="BG136" s="182">
        <f ca="1">IF($D136&lt;&gt;"Serviço",0,IF(OR(AND(AUTOEVENTO="Manual",$M136=1),$M136&gt;(ROW(PLE.lastrow)-ROW(PLE.firstrow))),0,IF(OFFSET(PLE!$G$14,$M136,BG$13)="",10^12,OFFSET(PLE!$G$14,$M136,BG$13))))</f>
        <v>1000000000000</v>
      </c>
    </row>
    <row r="137" spans="1:59" ht="25.5" x14ac:dyDescent="0.2">
      <c r="A137" s="7" t="str">
        <f t="shared" ca="1" si="13"/>
        <v>112</v>
      </c>
      <c r="B137" s="7" t="str">
        <f ca="1">OFFSET(ORÇAMENTO!C$15,ROW(B137)-ROW(B$15),0)</f>
        <v>S</v>
      </c>
      <c r="C137" s="7" t="str">
        <f ca="1">OFFSET(ORÇAMENTO!L$15,ROW(C137)-ROW(C$15),0)</f>
        <v>F</v>
      </c>
      <c r="D137" s="118" t="str">
        <f ca="1">OFFSET(ORÇAMENTO!N$15,ROW(D137)-ROW(D$15),0)</f>
        <v>Serviço</v>
      </c>
      <c r="E137" s="119" t="str">
        <f ca="1">OFFSET(ORÇAMENTO!O$15,ROW(E137)-ROW(E$15),0)</f>
        <v>8.2.10.</v>
      </c>
      <c r="F137" s="172" t="str">
        <f ca="1">OFFSET(ORÇAMENTO!R$15,ROW(F137)-ROW(F$15),0)</f>
        <v xml:space="preserve">BARRA DE APOIO EM ALUMINIO, COMPRIMENTO 40CM, FIXADA NA PAREDE - FORNECIMENTO E INSTALAÇÃO </v>
      </c>
      <c r="G137" s="173" t="str">
        <f ca="1">IF($D137&lt;&gt;"Serviço","",OFFSET(ORÇAMENTO!S$15,ROW(G137)-ROW(G$15),0))</f>
        <v>UN</v>
      </c>
      <c r="H137" s="124">
        <f ca="1">IF($D137&lt;&gt;"Serviço",0,IF(ACOMPANHAMENTO="BM",ROUND(OFFSET(ORÇAMENTO!AJ$15,ROW(H137)-ROW(H$15),0),15-13*ORÇAMENTO!$AF$7),SUMPRODUCT(($Q$12:$AA$12&lt;&gt;"")*ROUND($Q137:$AA137,15-13*ORÇAMENTO!$AF$7))))</f>
        <v>14</v>
      </c>
      <c r="I137" s="561"/>
      <c r="K137" s="174"/>
      <c r="L137" s="175" t="s">
        <v>255</v>
      </c>
      <c r="M137" s="176">
        <f ca="1">IF($D137&lt;&gt;"Serviço","",IF(AUTOEVENTO="manual",$A137,IF(ISERROR(MATCH($A137,$A$15:OFFSET($A137,-1,0),0)),MAX($M$15:OFFSET(M137,-1,0))+1,INDEX($M$15:OFFSET(M137,-1,0),MATCH($A137,$A$15:OFFSET($A137,-1,0),0)))))</f>
        <v>19</v>
      </c>
      <c r="N137" s="177" t="str">
        <f ca="1">IF($D137&lt;&gt;"Serviço","",IF(AUTOEVENTO="Manual",IF($A137=0,"&lt;-- defina o número do agrupador",OFFSET(EVENTOS!$D$14,$A137,0)),OFFSET($F$15,$A137,0)))</f>
        <v>ACESSÓRIOS  E ACESSIBILIDADE</v>
      </c>
      <c r="O137" s="178"/>
      <c r="Q137" s="178"/>
      <c r="R137" s="179"/>
      <c r="S137" s="179"/>
      <c r="T137" s="179"/>
      <c r="U137" s="179"/>
      <c r="V137" s="179"/>
      <c r="W137" s="179"/>
      <c r="X137" s="179"/>
      <c r="Y137" s="179"/>
      <c r="Z137" s="180"/>
      <c r="AB137" s="544">
        <f ca="1">IF(AND($D137="Serviço",AB$12&lt;&gt;0,$H137&gt;0,OR(AUTOEVENTO&lt;&gt;"manual",$M137&lt;&gt;1)),
IF(Import.TipoArredondamento&lt;&gt;"TransfereGOV",
ROUND(OFFSET($P137,0,AB$13),15-13*ORÇAMENTO!$AF$7)/$H137*OFFSET(ORÇAMENTO!$X$15,ROW(AB137)-ROW(AB$15),0),
ROUND(ROUND(OFFSET($P137,0,AB$13),15-13*ORÇAMENTO!$AF$7)*OFFSET(ORÇAMENTO!$W$15,ROW(AB137)-ROW(AB$15),0),15-13*ORÇAMENTO!$AF$11)),0)</f>
        <v>0</v>
      </c>
      <c r="AC137" s="545">
        <f ca="1">IF(AND($D137="Serviço",AC$12&lt;&gt;0,$H137&gt;0,OR(AUTOEVENTO&lt;&gt;"manual",$M137&lt;&gt;1)),
IF(Import.TipoArredondamento&lt;&gt;"TransfereGOV",
ROUND(OFFSET($P137,0,AC$13),15-13*ORÇAMENTO!$AF$7)/$H137*OFFSET(ORÇAMENTO!$X$15,ROW(AC137)-ROW(AC$15),0),
ROUND(ROUND(OFFSET($P137,0,AC$13),15-13*ORÇAMENTO!$AF$7)*OFFSET(ORÇAMENTO!$W$15,ROW(AC137)-ROW(AC$15),0),15-13*ORÇAMENTO!$AF$11)),0)</f>
        <v>0</v>
      </c>
      <c r="AD137" s="545">
        <f ca="1">IF(AND($D137="Serviço",AD$12&lt;&gt;0,$H137&gt;0,OR(AUTOEVENTO&lt;&gt;"manual",$M137&lt;&gt;1)),
IF(Import.TipoArredondamento&lt;&gt;"TransfereGOV",
ROUND(OFFSET($P137,0,AD$13),15-13*ORÇAMENTO!$AF$7)/$H137*OFFSET(ORÇAMENTO!$X$15,ROW(AD137)-ROW(AD$15),0),
ROUND(ROUND(OFFSET($P137,0,AD$13),15-13*ORÇAMENTO!$AF$7)*OFFSET(ORÇAMENTO!$W$15,ROW(AD137)-ROW(AD$15),0),15-13*ORÇAMENTO!$AF$11)),0)</f>
        <v>0</v>
      </c>
      <c r="AE137" s="545">
        <f ca="1">IF(AND($D137="Serviço",AE$12&lt;&gt;0,$H137&gt;0,OR(AUTOEVENTO&lt;&gt;"manual",$M137&lt;&gt;1)),
IF(Import.TipoArredondamento&lt;&gt;"TransfereGOV",
ROUND(OFFSET($P137,0,AE$13),15-13*ORÇAMENTO!$AF$7)/$H137*OFFSET(ORÇAMENTO!$X$15,ROW(AE137)-ROW(AE$15),0),
ROUND(ROUND(OFFSET($P137,0,AE$13),15-13*ORÇAMENTO!$AF$7)*OFFSET(ORÇAMENTO!$W$15,ROW(AE137)-ROW(AE$15),0),15-13*ORÇAMENTO!$AF$11)),0)</f>
        <v>0</v>
      </c>
      <c r="AF137" s="545">
        <f ca="1">IF(AND($D137="Serviço",AF$12&lt;&gt;0,$H137&gt;0,OR(AUTOEVENTO&lt;&gt;"manual",$M137&lt;&gt;1)),
IF(Import.TipoArredondamento&lt;&gt;"TransfereGOV",
ROUND(OFFSET($P137,0,AF$13),15-13*ORÇAMENTO!$AF$7)/$H137*OFFSET(ORÇAMENTO!$X$15,ROW(AF137)-ROW(AF$15),0),
ROUND(ROUND(OFFSET($P137,0,AF$13),15-13*ORÇAMENTO!$AF$7)*OFFSET(ORÇAMENTO!$W$15,ROW(AF137)-ROW(AF$15),0),15-13*ORÇAMENTO!$AF$11)),0)</f>
        <v>0</v>
      </c>
      <c r="AG137" s="545">
        <f ca="1">IF(AND($D137="Serviço",AG$12&lt;&gt;0,$H137&gt;0,OR(AUTOEVENTO&lt;&gt;"manual",$M137&lt;&gt;1)),
IF(Import.TipoArredondamento&lt;&gt;"TransfereGOV",
ROUND(OFFSET($P137,0,AG$13),15-13*ORÇAMENTO!$AF$7)/$H137*OFFSET(ORÇAMENTO!$X$15,ROW(AG137)-ROW(AG$15),0),
ROUND(ROUND(OFFSET($P137,0,AG$13),15-13*ORÇAMENTO!$AF$7)*OFFSET(ORÇAMENTO!$W$15,ROW(AG137)-ROW(AG$15),0),15-13*ORÇAMENTO!$AF$11)),0)</f>
        <v>0</v>
      </c>
      <c r="AH137" s="545">
        <f ca="1">IF(AND($D137="Serviço",AH$12&lt;&gt;0,$H137&gt;0,OR(AUTOEVENTO&lt;&gt;"manual",$M137&lt;&gt;1)),
IF(Import.TipoArredondamento&lt;&gt;"TransfereGOV",
ROUND(OFFSET($P137,0,AH$13),15-13*ORÇAMENTO!$AF$7)/$H137*OFFSET(ORÇAMENTO!$X$15,ROW(AH137)-ROW(AH$15),0),
ROUND(ROUND(OFFSET($P137,0,AH$13),15-13*ORÇAMENTO!$AF$7)*OFFSET(ORÇAMENTO!$W$15,ROW(AH137)-ROW(AH$15),0),15-13*ORÇAMENTO!$AF$11)),0)</f>
        <v>0</v>
      </c>
      <c r="AI137" s="545">
        <f ca="1">IF(AND($D137="Serviço",AI$12&lt;&gt;0,$H137&gt;0,OR(AUTOEVENTO&lt;&gt;"manual",$M137&lt;&gt;1)),
IF(Import.TipoArredondamento&lt;&gt;"TransfereGOV",
ROUND(OFFSET($P137,0,AI$13),15-13*ORÇAMENTO!$AF$7)/$H137*OFFSET(ORÇAMENTO!$X$15,ROW(AI137)-ROW(AI$15),0),
ROUND(ROUND(OFFSET($P137,0,AI$13),15-13*ORÇAMENTO!$AF$7)*OFFSET(ORÇAMENTO!$W$15,ROW(AI137)-ROW(AI$15),0),15-13*ORÇAMENTO!$AF$11)),0)</f>
        <v>0</v>
      </c>
      <c r="AJ137" s="545">
        <f ca="1">IF(AND($D137="Serviço",AJ$12&lt;&gt;0,$H137&gt;0,OR(AUTOEVENTO&lt;&gt;"manual",$M137&lt;&gt;1)),
IF(Import.TipoArredondamento&lt;&gt;"TransfereGOV",
ROUND(OFFSET($P137,0,AJ$13),15-13*ORÇAMENTO!$AF$7)/$H137*OFFSET(ORÇAMENTO!$X$15,ROW(AJ137)-ROW(AJ$15),0),
ROUND(ROUND(OFFSET($P137,0,AJ$13),15-13*ORÇAMENTO!$AF$7)*OFFSET(ORÇAMENTO!$W$15,ROW(AJ137)-ROW(AJ$15),0),15-13*ORÇAMENTO!$AF$11)),0)</f>
        <v>0</v>
      </c>
      <c r="AK137" s="546">
        <f ca="1">IF(AND($D137="Serviço",AK$12&lt;&gt;0,$H137&gt;0,OR(AUTOEVENTO&lt;&gt;"manual",$M137&lt;&gt;1)),
IF(Import.TipoArredondamento&lt;&gt;"TransfereGOV",
ROUND(OFFSET($P137,0,AK$13),15-13*ORÇAMENTO!$AF$7)/$H137*OFFSET(ORÇAMENTO!$X$15,ROW(AK137)-ROW(AK$15),0),
ROUND(ROUND(OFFSET($P137,0,AK$13),15-13*ORÇAMENTO!$AF$7)*OFFSET(ORÇAMENTO!$W$15,ROW(AK137)-ROW(AK$15),0),15-13*ORÇAMENTO!$AF$11)),0)</f>
        <v>0</v>
      </c>
      <c r="AM137" s="181">
        <f ca="1">IF($D137&lt;&gt;"Serviço",0,IF(AND(AUTOEVENTO="Manual",$M137=1),0,IF(OFFSET(CRONOPLE!$F$14,$M137,AM$13)="",10^12,OFFSET(CRONOPLE!$F$14,$M137,AM$13))))</f>
        <v>1000000000000</v>
      </c>
      <c r="AN137" s="181">
        <f ca="1">IF($D137&lt;&gt;"Serviço",0,IF(AND(AUTOEVENTO="Manual",$M137=1),0,IF(OFFSET(CRONOPLE!$F$14,$M137,AN$13)="",10^12,OFFSET(CRONOPLE!$F$14,$M137,AN$13))))</f>
        <v>1000000000000</v>
      </c>
      <c r="AO137" s="181">
        <f ca="1">IF($D137&lt;&gt;"Serviço",0,IF(AND(AUTOEVENTO="Manual",$M137=1),0,IF(OFFSET(CRONOPLE!$F$14,$M137,AO$13)="",10^12,OFFSET(CRONOPLE!$F$14,$M137,AO$13))))</f>
        <v>1000000000000</v>
      </c>
      <c r="AP137" s="181">
        <f ca="1">IF($D137&lt;&gt;"Serviço",0,IF(AND(AUTOEVENTO="Manual",$M137=1),0,IF(OFFSET(CRONOPLE!$F$14,$M137,AP$13)="",10^12,OFFSET(CRONOPLE!$F$14,$M137,AP$13))))</f>
        <v>1000000000000</v>
      </c>
      <c r="AQ137" s="181">
        <f ca="1">IF($D137&lt;&gt;"Serviço",0,IF(AND(AUTOEVENTO="Manual",$M137=1),0,IF(OFFSET(CRONOPLE!$F$14,$M137,AQ$13)="",10^12,OFFSET(CRONOPLE!$F$14,$M137,AQ$13))))</f>
        <v>1000000000000</v>
      </c>
      <c r="AR137" s="181">
        <f ca="1">IF($D137&lt;&gt;"Serviço",0,IF(AND(AUTOEVENTO="Manual",$M137=1),0,IF(OFFSET(CRONOPLE!$F$14,$M137,AR$13)="",10^12,OFFSET(CRONOPLE!$F$14,$M137,AR$13))))</f>
        <v>1000000000000</v>
      </c>
      <c r="AS137" s="181">
        <f ca="1">IF($D137&lt;&gt;"Serviço",0,IF(AND(AUTOEVENTO="Manual",$M137=1),0,IF(OFFSET(CRONOPLE!$F$14,$M137,AS$13)="",10^12,OFFSET(CRONOPLE!$F$14,$M137,AS$13))))</f>
        <v>1000000000000</v>
      </c>
      <c r="AT137" s="181">
        <f ca="1">IF($D137&lt;&gt;"Serviço",0,IF(AND(AUTOEVENTO="Manual",$M137=1),0,IF(OFFSET(CRONOPLE!$F$14,$M137,AT$13)="",10^12,OFFSET(CRONOPLE!$F$14,$M137,AT$13))))</f>
        <v>1000000000000</v>
      </c>
      <c r="AU137" s="181">
        <f ca="1">IF($D137&lt;&gt;"Serviço",0,IF(AND(AUTOEVENTO="Manual",$M137=1),0,IF(OFFSET(CRONOPLE!$F$14,$M137,AU$13)="",10^12,OFFSET(CRONOPLE!$F$14,$M137,AU$13))))</f>
        <v>1000000000000</v>
      </c>
      <c r="AV137" s="181">
        <f ca="1">IF($D137&lt;&gt;"Serviço",0,IF(AND(AUTOEVENTO="Manual",$M137=1),0,IF(OFFSET(CRONOPLE!$F$14,$M137,AV$13)="",10^12,OFFSET(CRONOPLE!$F$14,$M137,AV$13))))</f>
        <v>1000000000000</v>
      </c>
      <c r="AX137" s="182">
        <f ca="1">IF($D137&lt;&gt;"Serviço",0,IF(OR(AND(AUTOEVENTO="Manual",$M137=1),$M137&gt;(ROW(PLE.lastrow)-ROW(PLE.firstrow))),0,IF(OFFSET(PLE!$G$14,$M137,AX$13)="",10^12,OFFSET(PLE!$G$14,$M137,AX$13))))</f>
        <v>1000000000000</v>
      </c>
      <c r="AY137" s="182">
        <f ca="1">IF($D137&lt;&gt;"Serviço",0,IF(OR(AND(AUTOEVENTO="Manual",$M137=1),$M137&gt;(ROW(PLE.lastrow)-ROW(PLE.firstrow))),0,IF(OFFSET(PLE!$G$14,$M137,AY$13)="",10^12,OFFSET(PLE!$G$14,$M137,AY$13))))</f>
        <v>1000000000000</v>
      </c>
      <c r="AZ137" s="182">
        <f ca="1">IF($D137&lt;&gt;"Serviço",0,IF(OR(AND(AUTOEVENTO="Manual",$M137=1),$M137&gt;(ROW(PLE.lastrow)-ROW(PLE.firstrow))),0,IF(OFFSET(PLE!$G$14,$M137,AZ$13)="",10^12,OFFSET(PLE!$G$14,$M137,AZ$13))))</f>
        <v>1000000000000</v>
      </c>
      <c r="BA137" s="182">
        <f ca="1">IF($D137&lt;&gt;"Serviço",0,IF(OR(AND(AUTOEVENTO="Manual",$M137=1),$M137&gt;(ROW(PLE.lastrow)-ROW(PLE.firstrow))),0,IF(OFFSET(PLE!$G$14,$M137,BA$13)="",10^12,OFFSET(PLE!$G$14,$M137,BA$13))))</f>
        <v>1000000000000</v>
      </c>
      <c r="BB137" s="182">
        <f ca="1">IF($D137&lt;&gt;"Serviço",0,IF(OR(AND(AUTOEVENTO="Manual",$M137=1),$M137&gt;(ROW(PLE.lastrow)-ROW(PLE.firstrow))),0,IF(OFFSET(PLE!$G$14,$M137,BB$13)="",10^12,OFFSET(PLE!$G$14,$M137,BB$13))))</f>
        <v>1000000000000</v>
      </c>
      <c r="BC137" s="182">
        <f ca="1">IF($D137&lt;&gt;"Serviço",0,IF(OR(AND(AUTOEVENTO="Manual",$M137=1),$M137&gt;(ROW(PLE.lastrow)-ROW(PLE.firstrow))),0,IF(OFFSET(PLE!$G$14,$M137,BC$13)="",10^12,OFFSET(PLE!$G$14,$M137,BC$13))))</f>
        <v>1000000000000</v>
      </c>
      <c r="BD137" s="182">
        <f ca="1">IF($D137&lt;&gt;"Serviço",0,IF(OR(AND(AUTOEVENTO="Manual",$M137=1),$M137&gt;(ROW(PLE.lastrow)-ROW(PLE.firstrow))),0,IF(OFFSET(PLE!$G$14,$M137,BD$13)="",10^12,OFFSET(PLE!$G$14,$M137,BD$13))))</f>
        <v>1000000000000</v>
      </c>
      <c r="BE137" s="182">
        <f ca="1">IF($D137&lt;&gt;"Serviço",0,IF(OR(AND(AUTOEVENTO="Manual",$M137=1),$M137&gt;(ROW(PLE.lastrow)-ROW(PLE.firstrow))),0,IF(OFFSET(PLE!$G$14,$M137,BE$13)="",10^12,OFFSET(PLE!$G$14,$M137,BE$13))))</f>
        <v>1000000000000</v>
      </c>
      <c r="BF137" s="182">
        <f ca="1">IF($D137&lt;&gt;"Serviço",0,IF(OR(AND(AUTOEVENTO="Manual",$M137=1),$M137&gt;(ROW(PLE.lastrow)-ROW(PLE.firstrow))),0,IF(OFFSET(PLE!$G$14,$M137,BF$13)="",10^12,OFFSET(PLE!$G$14,$M137,BF$13))))</f>
        <v>1000000000000</v>
      </c>
      <c r="BG137" s="182">
        <f ca="1">IF($D137&lt;&gt;"Serviço",0,IF(OR(AND(AUTOEVENTO="Manual",$M137=1),$M137&gt;(ROW(PLE.lastrow)-ROW(PLE.firstrow))),0,IF(OFFSET(PLE!$G$14,$M137,BG$13)="",10^12,OFFSET(PLE!$G$14,$M137,BG$13))))</f>
        <v>1000000000000</v>
      </c>
    </row>
    <row r="138" spans="1:59" ht="25.5" x14ac:dyDescent="0.2">
      <c r="A138" s="7" t="str">
        <f t="shared" ref="A138:A143" ca="1" si="14">IF(AUTOEVENTO="Manual",IF(K138&lt;&gt;"",MIN(VALUE(LEFT(K138,FIND(".",K138)-1)),COUNTA(EVENTOS.Lista)),0),IF(OR($B138&gt;AUTOEVENTO,$B138="S",$B138=0),SUBSTITUTE(OFFSET($A138,-1,0),IF($D138="Serviço",".",""),""),ROW(A138)-ROW($A$15)&amp;"."))</f>
        <v>112</v>
      </c>
      <c r="B138" s="7" t="str">
        <f ca="1">OFFSET(ORÇAMENTO!C$15,ROW(B138)-ROW(B$15),0)</f>
        <v>S</v>
      </c>
      <c r="C138" s="7" t="str">
        <f ca="1">OFFSET(ORÇAMENTO!L$15,ROW(C138)-ROW(C$15),0)</f>
        <v>F</v>
      </c>
      <c r="D138" s="118" t="str">
        <f ca="1">OFFSET(ORÇAMENTO!N$15,ROW(D138)-ROW(D$15),0)</f>
        <v>Serviço</v>
      </c>
      <c r="E138" s="119" t="str">
        <f ca="1">OFFSET(ORÇAMENTO!O$15,ROW(E138)-ROW(E$15),0)</f>
        <v>8.2.11.</v>
      </c>
      <c r="F138" s="172" t="str">
        <f ca="1">OFFSET(ORÇAMENTO!R$15,ROW(F138)-ROW(F$15),0)</f>
        <v>ESPELHO CRISTAL E = 4 MM</v>
      </c>
      <c r="G138" s="173" t="str">
        <f ca="1">IF($D138&lt;&gt;"Serviço","",OFFSET(ORÇAMENTO!S$15,ROW(G138)-ROW(G$15),0))</f>
        <v>M2</v>
      </c>
      <c r="H138" s="124">
        <f ca="1">IF($D138&lt;&gt;"Serviço",0,IF(ACOMPANHAMENTO="BM",ROUND(OFFSET(ORÇAMENTO!AJ$15,ROW(H138)-ROW(H$15),0),15-13*ORÇAMENTO!$AF$7),SUMPRODUCT(($Q$12:$AA$12&lt;&gt;"")*ROUND($Q138:$AA138,15-13*ORÇAMENTO!$AF$7))))</f>
        <v>1</v>
      </c>
      <c r="I138" s="561"/>
      <c r="K138" s="174"/>
      <c r="L138" s="175" t="s">
        <v>255</v>
      </c>
      <c r="M138" s="176">
        <f ca="1">IF($D138&lt;&gt;"Serviço","",IF(AUTOEVENTO="manual",$A138,IF(ISERROR(MATCH($A138,$A$15:OFFSET($A138,-1,0),0)),MAX($M$15:OFFSET(M138,-1,0))+1,INDEX($M$15:OFFSET(M138,-1,0),MATCH($A138,$A$15:OFFSET($A138,-1,0),0)))))</f>
        <v>19</v>
      </c>
      <c r="N138" s="177" t="str">
        <f ca="1">IF($D138&lt;&gt;"Serviço","",IF(AUTOEVENTO="Manual",IF($A138=0,"&lt;-- defina o número do agrupador",OFFSET(EVENTOS!$D$14,$A138,0)),OFFSET($F$15,$A138,0)))</f>
        <v>ACESSÓRIOS  E ACESSIBILIDADE</v>
      </c>
      <c r="O138" s="178"/>
      <c r="Q138" s="178"/>
      <c r="R138" s="179"/>
      <c r="S138" s="179"/>
      <c r="T138" s="179"/>
      <c r="U138" s="179"/>
      <c r="V138" s="179"/>
      <c r="W138" s="179"/>
      <c r="X138" s="179"/>
      <c r="Y138" s="179"/>
      <c r="Z138" s="180"/>
      <c r="AB138" s="544">
        <f ca="1">IF(AND($D138="Serviço",AB$12&lt;&gt;0,$H138&gt;0,OR(AUTOEVENTO&lt;&gt;"manual",$M138&lt;&gt;1)),
IF(Import.TipoArredondamento&lt;&gt;"TransfereGOV",
ROUND(OFFSET($P138,0,AB$13),15-13*ORÇAMENTO!$AF$7)/$H138*OFFSET(ORÇAMENTO!$X$15,ROW(AB138)-ROW(AB$15),0),
ROUND(ROUND(OFFSET($P138,0,AB$13),15-13*ORÇAMENTO!$AF$7)*OFFSET(ORÇAMENTO!$W$15,ROW(AB138)-ROW(AB$15),0),15-13*ORÇAMENTO!$AF$11)),0)</f>
        <v>0</v>
      </c>
      <c r="AC138" s="545">
        <f ca="1">IF(AND($D138="Serviço",AC$12&lt;&gt;0,$H138&gt;0,OR(AUTOEVENTO&lt;&gt;"manual",$M138&lt;&gt;1)),
IF(Import.TipoArredondamento&lt;&gt;"TransfereGOV",
ROUND(OFFSET($P138,0,AC$13),15-13*ORÇAMENTO!$AF$7)/$H138*OFFSET(ORÇAMENTO!$X$15,ROW(AC138)-ROW(AC$15),0),
ROUND(ROUND(OFFSET($P138,0,AC$13),15-13*ORÇAMENTO!$AF$7)*OFFSET(ORÇAMENTO!$W$15,ROW(AC138)-ROW(AC$15),0),15-13*ORÇAMENTO!$AF$11)),0)</f>
        <v>0</v>
      </c>
      <c r="AD138" s="545">
        <f ca="1">IF(AND($D138="Serviço",AD$12&lt;&gt;0,$H138&gt;0,OR(AUTOEVENTO&lt;&gt;"manual",$M138&lt;&gt;1)),
IF(Import.TipoArredondamento&lt;&gt;"TransfereGOV",
ROUND(OFFSET($P138,0,AD$13),15-13*ORÇAMENTO!$AF$7)/$H138*OFFSET(ORÇAMENTO!$X$15,ROW(AD138)-ROW(AD$15),0),
ROUND(ROUND(OFFSET($P138,0,AD$13),15-13*ORÇAMENTO!$AF$7)*OFFSET(ORÇAMENTO!$W$15,ROW(AD138)-ROW(AD$15),0),15-13*ORÇAMENTO!$AF$11)),0)</f>
        <v>0</v>
      </c>
      <c r="AE138" s="545">
        <f ca="1">IF(AND($D138="Serviço",AE$12&lt;&gt;0,$H138&gt;0,OR(AUTOEVENTO&lt;&gt;"manual",$M138&lt;&gt;1)),
IF(Import.TipoArredondamento&lt;&gt;"TransfereGOV",
ROUND(OFFSET($P138,0,AE$13),15-13*ORÇAMENTO!$AF$7)/$H138*OFFSET(ORÇAMENTO!$X$15,ROW(AE138)-ROW(AE$15),0),
ROUND(ROUND(OFFSET($P138,0,AE$13),15-13*ORÇAMENTO!$AF$7)*OFFSET(ORÇAMENTO!$W$15,ROW(AE138)-ROW(AE$15),0),15-13*ORÇAMENTO!$AF$11)),0)</f>
        <v>0</v>
      </c>
      <c r="AF138" s="545">
        <f ca="1">IF(AND($D138="Serviço",AF$12&lt;&gt;0,$H138&gt;0,OR(AUTOEVENTO&lt;&gt;"manual",$M138&lt;&gt;1)),
IF(Import.TipoArredondamento&lt;&gt;"TransfereGOV",
ROUND(OFFSET($P138,0,AF$13),15-13*ORÇAMENTO!$AF$7)/$H138*OFFSET(ORÇAMENTO!$X$15,ROW(AF138)-ROW(AF$15),0),
ROUND(ROUND(OFFSET($P138,0,AF$13),15-13*ORÇAMENTO!$AF$7)*OFFSET(ORÇAMENTO!$W$15,ROW(AF138)-ROW(AF$15),0),15-13*ORÇAMENTO!$AF$11)),0)</f>
        <v>0</v>
      </c>
      <c r="AG138" s="545">
        <f ca="1">IF(AND($D138="Serviço",AG$12&lt;&gt;0,$H138&gt;0,OR(AUTOEVENTO&lt;&gt;"manual",$M138&lt;&gt;1)),
IF(Import.TipoArredondamento&lt;&gt;"TransfereGOV",
ROUND(OFFSET($P138,0,AG$13),15-13*ORÇAMENTO!$AF$7)/$H138*OFFSET(ORÇAMENTO!$X$15,ROW(AG138)-ROW(AG$15),0),
ROUND(ROUND(OFFSET($P138,0,AG$13),15-13*ORÇAMENTO!$AF$7)*OFFSET(ORÇAMENTO!$W$15,ROW(AG138)-ROW(AG$15),0),15-13*ORÇAMENTO!$AF$11)),0)</f>
        <v>0</v>
      </c>
      <c r="AH138" s="545">
        <f ca="1">IF(AND($D138="Serviço",AH$12&lt;&gt;0,$H138&gt;0,OR(AUTOEVENTO&lt;&gt;"manual",$M138&lt;&gt;1)),
IF(Import.TipoArredondamento&lt;&gt;"TransfereGOV",
ROUND(OFFSET($P138,0,AH$13),15-13*ORÇAMENTO!$AF$7)/$H138*OFFSET(ORÇAMENTO!$X$15,ROW(AH138)-ROW(AH$15),0),
ROUND(ROUND(OFFSET($P138,0,AH$13),15-13*ORÇAMENTO!$AF$7)*OFFSET(ORÇAMENTO!$W$15,ROW(AH138)-ROW(AH$15),0),15-13*ORÇAMENTO!$AF$11)),0)</f>
        <v>0</v>
      </c>
      <c r="AI138" s="545">
        <f ca="1">IF(AND($D138="Serviço",AI$12&lt;&gt;0,$H138&gt;0,OR(AUTOEVENTO&lt;&gt;"manual",$M138&lt;&gt;1)),
IF(Import.TipoArredondamento&lt;&gt;"TransfereGOV",
ROUND(OFFSET($P138,0,AI$13),15-13*ORÇAMENTO!$AF$7)/$H138*OFFSET(ORÇAMENTO!$X$15,ROW(AI138)-ROW(AI$15),0),
ROUND(ROUND(OFFSET($P138,0,AI$13),15-13*ORÇAMENTO!$AF$7)*OFFSET(ORÇAMENTO!$W$15,ROW(AI138)-ROW(AI$15),0),15-13*ORÇAMENTO!$AF$11)),0)</f>
        <v>0</v>
      </c>
      <c r="AJ138" s="545">
        <f ca="1">IF(AND($D138="Serviço",AJ$12&lt;&gt;0,$H138&gt;0,OR(AUTOEVENTO&lt;&gt;"manual",$M138&lt;&gt;1)),
IF(Import.TipoArredondamento&lt;&gt;"TransfereGOV",
ROUND(OFFSET($P138,0,AJ$13),15-13*ORÇAMENTO!$AF$7)/$H138*OFFSET(ORÇAMENTO!$X$15,ROW(AJ138)-ROW(AJ$15),0),
ROUND(ROUND(OFFSET($P138,0,AJ$13),15-13*ORÇAMENTO!$AF$7)*OFFSET(ORÇAMENTO!$W$15,ROW(AJ138)-ROW(AJ$15),0),15-13*ORÇAMENTO!$AF$11)),0)</f>
        <v>0</v>
      </c>
      <c r="AK138" s="546">
        <f ca="1">IF(AND($D138="Serviço",AK$12&lt;&gt;0,$H138&gt;0,OR(AUTOEVENTO&lt;&gt;"manual",$M138&lt;&gt;1)),
IF(Import.TipoArredondamento&lt;&gt;"TransfereGOV",
ROUND(OFFSET($P138,0,AK$13),15-13*ORÇAMENTO!$AF$7)/$H138*OFFSET(ORÇAMENTO!$X$15,ROW(AK138)-ROW(AK$15),0),
ROUND(ROUND(OFFSET($P138,0,AK$13),15-13*ORÇAMENTO!$AF$7)*OFFSET(ORÇAMENTO!$W$15,ROW(AK138)-ROW(AK$15),0),15-13*ORÇAMENTO!$AF$11)),0)</f>
        <v>0</v>
      </c>
      <c r="AM138" s="181">
        <f ca="1">IF($D138&lt;&gt;"Serviço",0,IF(AND(AUTOEVENTO="Manual",$M138=1),0,IF(OFFSET(CRONOPLE!$F$14,$M138,AM$13)="",10^12,OFFSET(CRONOPLE!$F$14,$M138,AM$13))))</f>
        <v>1000000000000</v>
      </c>
      <c r="AN138" s="181">
        <f ca="1">IF($D138&lt;&gt;"Serviço",0,IF(AND(AUTOEVENTO="Manual",$M138=1),0,IF(OFFSET(CRONOPLE!$F$14,$M138,AN$13)="",10^12,OFFSET(CRONOPLE!$F$14,$M138,AN$13))))</f>
        <v>1000000000000</v>
      </c>
      <c r="AO138" s="181">
        <f ca="1">IF($D138&lt;&gt;"Serviço",0,IF(AND(AUTOEVENTO="Manual",$M138=1),0,IF(OFFSET(CRONOPLE!$F$14,$M138,AO$13)="",10^12,OFFSET(CRONOPLE!$F$14,$M138,AO$13))))</f>
        <v>1000000000000</v>
      </c>
      <c r="AP138" s="181">
        <f ca="1">IF($D138&lt;&gt;"Serviço",0,IF(AND(AUTOEVENTO="Manual",$M138=1),0,IF(OFFSET(CRONOPLE!$F$14,$M138,AP$13)="",10^12,OFFSET(CRONOPLE!$F$14,$M138,AP$13))))</f>
        <v>1000000000000</v>
      </c>
      <c r="AQ138" s="181">
        <f ca="1">IF($D138&lt;&gt;"Serviço",0,IF(AND(AUTOEVENTO="Manual",$M138=1),0,IF(OFFSET(CRONOPLE!$F$14,$M138,AQ$13)="",10^12,OFFSET(CRONOPLE!$F$14,$M138,AQ$13))))</f>
        <v>1000000000000</v>
      </c>
      <c r="AR138" s="181">
        <f ca="1">IF($D138&lt;&gt;"Serviço",0,IF(AND(AUTOEVENTO="Manual",$M138=1),0,IF(OFFSET(CRONOPLE!$F$14,$M138,AR$13)="",10^12,OFFSET(CRONOPLE!$F$14,$M138,AR$13))))</f>
        <v>1000000000000</v>
      </c>
      <c r="AS138" s="181">
        <f ca="1">IF($D138&lt;&gt;"Serviço",0,IF(AND(AUTOEVENTO="Manual",$M138=1),0,IF(OFFSET(CRONOPLE!$F$14,$M138,AS$13)="",10^12,OFFSET(CRONOPLE!$F$14,$M138,AS$13))))</f>
        <v>1000000000000</v>
      </c>
      <c r="AT138" s="181">
        <f ca="1">IF($D138&lt;&gt;"Serviço",0,IF(AND(AUTOEVENTO="Manual",$M138=1),0,IF(OFFSET(CRONOPLE!$F$14,$M138,AT$13)="",10^12,OFFSET(CRONOPLE!$F$14,$M138,AT$13))))</f>
        <v>1000000000000</v>
      </c>
      <c r="AU138" s="181">
        <f ca="1">IF($D138&lt;&gt;"Serviço",0,IF(AND(AUTOEVENTO="Manual",$M138=1),0,IF(OFFSET(CRONOPLE!$F$14,$M138,AU$13)="",10^12,OFFSET(CRONOPLE!$F$14,$M138,AU$13))))</f>
        <v>1000000000000</v>
      </c>
      <c r="AV138" s="181">
        <f ca="1">IF($D138&lt;&gt;"Serviço",0,IF(AND(AUTOEVENTO="Manual",$M138=1),0,IF(OFFSET(CRONOPLE!$F$14,$M138,AV$13)="",10^12,OFFSET(CRONOPLE!$F$14,$M138,AV$13))))</f>
        <v>1000000000000</v>
      </c>
      <c r="AX138" s="182">
        <f ca="1">IF($D138&lt;&gt;"Serviço",0,IF(OR(AND(AUTOEVENTO="Manual",$M138=1),$M138&gt;(ROW(PLE.lastrow)-ROW(PLE.firstrow))),0,IF(OFFSET(PLE!$G$14,$M138,AX$13)="",10^12,OFFSET(PLE!$G$14,$M138,AX$13))))</f>
        <v>1000000000000</v>
      </c>
      <c r="AY138" s="182">
        <f ca="1">IF($D138&lt;&gt;"Serviço",0,IF(OR(AND(AUTOEVENTO="Manual",$M138=1),$M138&gt;(ROW(PLE.lastrow)-ROW(PLE.firstrow))),0,IF(OFFSET(PLE!$G$14,$M138,AY$13)="",10^12,OFFSET(PLE!$G$14,$M138,AY$13))))</f>
        <v>1000000000000</v>
      </c>
      <c r="AZ138" s="182">
        <f ca="1">IF($D138&lt;&gt;"Serviço",0,IF(OR(AND(AUTOEVENTO="Manual",$M138=1),$M138&gt;(ROW(PLE.lastrow)-ROW(PLE.firstrow))),0,IF(OFFSET(PLE!$G$14,$M138,AZ$13)="",10^12,OFFSET(PLE!$G$14,$M138,AZ$13))))</f>
        <v>1000000000000</v>
      </c>
      <c r="BA138" s="182">
        <f ca="1">IF($D138&lt;&gt;"Serviço",0,IF(OR(AND(AUTOEVENTO="Manual",$M138=1),$M138&gt;(ROW(PLE.lastrow)-ROW(PLE.firstrow))),0,IF(OFFSET(PLE!$G$14,$M138,BA$13)="",10^12,OFFSET(PLE!$G$14,$M138,BA$13))))</f>
        <v>1000000000000</v>
      </c>
      <c r="BB138" s="182">
        <f ca="1">IF($D138&lt;&gt;"Serviço",0,IF(OR(AND(AUTOEVENTO="Manual",$M138=1),$M138&gt;(ROW(PLE.lastrow)-ROW(PLE.firstrow))),0,IF(OFFSET(PLE!$G$14,$M138,BB$13)="",10^12,OFFSET(PLE!$G$14,$M138,BB$13))))</f>
        <v>1000000000000</v>
      </c>
      <c r="BC138" s="182">
        <f ca="1">IF($D138&lt;&gt;"Serviço",0,IF(OR(AND(AUTOEVENTO="Manual",$M138=1),$M138&gt;(ROW(PLE.lastrow)-ROW(PLE.firstrow))),0,IF(OFFSET(PLE!$G$14,$M138,BC$13)="",10^12,OFFSET(PLE!$G$14,$M138,BC$13))))</f>
        <v>1000000000000</v>
      </c>
      <c r="BD138" s="182">
        <f ca="1">IF($D138&lt;&gt;"Serviço",0,IF(OR(AND(AUTOEVENTO="Manual",$M138=1),$M138&gt;(ROW(PLE.lastrow)-ROW(PLE.firstrow))),0,IF(OFFSET(PLE!$G$14,$M138,BD$13)="",10^12,OFFSET(PLE!$G$14,$M138,BD$13))))</f>
        <v>1000000000000</v>
      </c>
      <c r="BE138" s="182">
        <f ca="1">IF($D138&lt;&gt;"Serviço",0,IF(OR(AND(AUTOEVENTO="Manual",$M138=1),$M138&gt;(ROW(PLE.lastrow)-ROW(PLE.firstrow))),0,IF(OFFSET(PLE!$G$14,$M138,BE$13)="",10^12,OFFSET(PLE!$G$14,$M138,BE$13))))</f>
        <v>1000000000000</v>
      </c>
      <c r="BF138" s="182">
        <f ca="1">IF($D138&lt;&gt;"Serviço",0,IF(OR(AND(AUTOEVENTO="Manual",$M138=1),$M138&gt;(ROW(PLE.lastrow)-ROW(PLE.firstrow))),0,IF(OFFSET(PLE!$G$14,$M138,BF$13)="",10^12,OFFSET(PLE!$G$14,$M138,BF$13))))</f>
        <v>1000000000000</v>
      </c>
      <c r="BG138" s="182">
        <f ca="1">IF($D138&lt;&gt;"Serviço",0,IF(OR(AND(AUTOEVENTO="Manual",$M138=1),$M138&gt;(ROW(PLE.lastrow)-ROW(PLE.firstrow))),0,IF(OFFSET(PLE!$G$14,$M138,BG$13)="",10^12,OFFSET(PLE!$G$14,$M138,BG$13))))</f>
        <v>1000000000000</v>
      </c>
    </row>
    <row r="139" spans="1:59" ht="25.5" x14ac:dyDescent="0.2">
      <c r="A139" s="7" t="str">
        <f ca="1">IF(AUTOEVENTO="Manual",IF(K139&lt;&gt;"",MIN(VALUE(LEFT(K139,FIND(".",K139)-1)),COUNTA(EVENTOS.Lista)),0),IF(OR($B139&gt;AUTOEVENTO,$B139="S",$B139=0),SUBSTITUTE(OFFSET($A139,-1,0),IF($D139="Serviço",".",""),""),ROW(A139)-ROW($A$15)&amp;"."))</f>
        <v>112</v>
      </c>
      <c r="B139" s="7" t="str">
        <f ca="1">OFFSET(ORÇAMENTO!C$15,ROW(B139)-ROW(B$15),0)</f>
        <v>S</v>
      </c>
      <c r="C139" s="7" t="str">
        <f ca="1">OFFSET(ORÇAMENTO!L$15,ROW(C139)-ROW(C$15),0)</f>
        <v>F</v>
      </c>
      <c r="D139" s="118" t="str">
        <f ca="1">OFFSET(ORÇAMENTO!N$15,ROW(D139)-ROW(D$15),0)</f>
        <v>Serviço</v>
      </c>
      <c r="E139" s="119" t="str">
        <f ca="1">OFFSET(ORÇAMENTO!O$15,ROW(E139)-ROW(E$15),0)</f>
        <v>8.2.12.</v>
      </c>
      <c r="F139" s="172" t="str">
        <f ca="1">OFFSET(ORÇAMENTO!R$15,ROW(F139)-ROW(F$15),0)</f>
        <v>CHUVEIRO ELÉTRICO COMUM CORPO PLÁSTICO, TIPO DUCHA - FORNECIMENTO E INSTALAÇÃO. AF_02/2026</v>
      </c>
      <c r="G139" s="173" t="str">
        <f ca="1">IF($D139&lt;&gt;"Serviço","",OFFSET(ORÇAMENTO!S$15,ROW(G139)-ROW(G$15),0))</f>
        <v>UN</v>
      </c>
      <c r="H139" s="124">
        <f ca="1">IF($D139&lt;&gt;"Serviço",0,IF(ACOMPANHAMENTO="BM",ROUND(OFFSET(ORÇAMENTO!AJ$15,ROW(H139)-ROW(H$15),0),15-13*ORÇAMENTO!$AF$7),SUMPRODUCT(($Q$12:$AA$12&lt;&gt;"")*ROUND($Q139:$AA139,15-13*ORÇAMENTO!$AF$7))))</f>
        <v>2</v>
      </c>
      <c r="I139" s="561"/>
      <c r="K139" s="174"/>
      <c r="L139" s="175" t="s">
        <v>255</v>
      </c>
      <c r="M139" s="176">
        <f ca="1">IF($D139&lt;&gt;"Serviço","",IF(AUTOEVENTO="manual",$A139,IF(ISERROR(MATCH($A139,$A$15:OFFSET($A139,-1,0),0)),MAX($M$15:OFFSET(M139,-1,0))+1,INDEX($M$15:OFFSET(M139,-1,0),MATCH($A139,$A$15:OFFSET($A139,-1,0),0)))))</f>
        <v>19</v>
      </c>
      <c r="N139" s="177" t="str">
        <f ca="1">IF($D139&lt;&gt;"Serviço","",IF(AUTOEVENTO="Manual",IF($A139=0,"&lt;-- defina o número do agrupador",OFFSET(EVENTOS!$D$14,$A139,0)),OFFSET($F$15,$A139,0)))</f>
        <v>ACESSÓRIOS  E ACESSIBILIDADE</v>
      </c>
      <c r="O139" s="178"/>
      <c r="Q139" s="178"/>
      <c r="R139" s="179"/>
      <c r="S139" s="179"/>
      <c r="T139" s="179"/>
      <c r="U139" s="179"/>
      <c r="V139" s="179"/>
      <c r="W139" s="179"/>
      <c r="X139" s="179"/>
      <c r="Y139" s="179"/>
      <c r="Z139" s="180"/>
      <c r="AB139" s="544">
        <f ca="1">IF(AND($D139="Serviço",AB$12&lt;&gt;0,$H139&gt;0,OR(AUTOEVENTO&lt;&gt;"manual",$M139&lt;&gt;1)),
IF(Import.TipoArredondamento&lt;&gt;"TransfereGOV",
ROUND(OFFSET($P139,0,AB$13),15-13*ORÇAMENTO!$AF$7)/$H139*OFFSET(ORÇAMENTO!$X$15,ROW(AB139)-ROW(AB$15),0),
ROUND(ROUND(OFFSET($P139,0,AB$13),15-13*ORÇAMENTO!$AF$7)*OFFSET(ORÇAMENTO!$W$15,ROW(AB139)-ROW(AB$15),0),15-13*ORÇAMENTO!$AF$11)),0)</f>
        <v>0</v>
      </c>
      <c r="AC139" s="545">
        <f ca="1">IF(AND($D139="Serviço",AC$12&lt;&gt;0,$H139&gt;0,OR(AUTOEVENTO&lt;&gt;"manual",$M139&lt;&gt;1)),
IF(Import.TipoArredondamento&lt;&gt;"TransfereGOV",
ROUND(OFFSET($P139,0,AC$13),15-13*ORÇAMENTO!$AF$7)/$H139*OFFSET(ORÇAMENTO!$X$15,ROW(AC139)-ROW(AC$15),0),
ROUND(ROUND(OFFSET($P139,0,AC$13),15-13*ORÇAMENTO!$AF$7)*OFFSET(ORÇAMENTO!$W$15,ROW(AC139)-ROW(AC$15),0),15-13*ORÇAMENTO!$AF$11)),0)</f>
        <v>0</v>
      </c>
      <c r="AD139" s="545">
        <f ca="1">IF(AND($D139="Serviço",AD$12&lt;&gt;0,$H139&gt;0,OR(AUTOEVENTO&lt;&gt;"manual",$M139&lt;&gt;1)),
IF(Import.TipoArredondamento&lt;&gt;"TransfereGOV",
ROUND(OFFSET($P139,0,AD$13),15-13*ORÇAMENTO!$AF$7)/$H139*OFFSET(ORÇAMENTO!$X$15,ROW(AD139)-ROW(AD$15),0),
ROUND(ROUND(OFFSET($P139,0,AD$13),15-13*ORÇAMENTO!$AF$7)*OFFSET(ORÇAMENTO!$W$15,ROW(AD139)-ROW(AD$15),0),15-13*ORÇAMENTO!$AF$11)),0)</f>
        <v>0</v>
      </c>
      <c r="AE139" s="545">
        <f ca="1">IF(AND($D139="Serviço",AE$12&lt;&gt;0,$H139&gt;0,OR(AUTOEVENTO&lt;&gt;"manual",$M139&lt;&gt;1)),
IF(Import.TipoArredondamento&lt;&gt;"TransfereGOV",
ROUND(OFFSET($P139,0,AE$13),15-13*ORÇAMENTO!$AF$7)/$H139*OFFSET(ORÇAMENTO!$X$15,ROW(AE139)-ROW(AE$15),0),
ROUND(ROUND(OFFSET($P139,0,AE$13),15-13*ORÇAMENTO!$AF$7)*OFFSET(ORÇAMENTO!$W$15,ROW(AE139)-ROW(AE$15),0),15-13*ORÇAMENTO!$AF$11)),0)</f>
        <v>0</v>
      </c>
      <c r="AF139" s="545">
        <f ca="1">IF(AND($D139="Serviço",AF$12&lt;&gt;0,$H139&gt;0,OR(AUTOEVENTO&lt;&gt;"manual",$M139&lt;&gt;1)),
IF(Import.TipoArredondamento&lt;&gt;"TransfereGOV",
ROUND(OFFSET($P139,0,AF$13),15-13*ORÇAMENTO!$AF$7)/$H139*OFFSET(ORÇAMENTO!$X$15,ROW(AF139)-ROW(AF$15),0),
ROUND(ROUND(OFFSET($P139,0,AF$13),15-13*ORÇAMENTO!$AF$7)*OFFSET(ORÇAMENTO!$W$15,ROW(AF139)-ROW(AF$15),0),15-13*ORÇAMENTO!$AF$11)),0)</f>
        <v>0</v>
      </c>
      <c r="AG139" s="545">
        <f ca="1">IF(AND($D139="Serviço",AG$12&lt;&gt;0,$H139&gt;0,OR(AUTOEVENTO&lt;&gt;"manual",$M139&lt;&gt;1)),
IF(Import.TipoArredondamento&lt;&gt;"TransfereGOV",
ROUND(OFFSET($P139,0,AG$13),15-13*ORÇAMENTO!$AF$7)/$H139*OFFSET(ORÇAMENTO!$X$15,ROW(AG139)-ROW(AG$15),0),
ROUND(ROUND(OFFSET($P139,0,AG$13),15-13*ORÇAMENTO!$AF$7)*OFFSET(ORÇAMENTO!$W$15,ROW(AG139)-ROW(AG$15),0),15-13*ORÇAMENTO!$AF$11)),0)</f>
        <v>0</v>
      </c>
      <c r="AH139" s="545">
        <f ca="1">IF(AND($D139="Serviço",AH$12&lt;&gt;0,$H139&gt;0,OR(AUTOEVENTO&lt;&gt;"manual",$M139&lt;&gt;1)),
IF(Import.TipoArredondamento&lt;&gt;"TransfereGOV",
ROUND(OFFSET($P139,0,AH$13),15-13*ORÇAMENTO!$AF$7)/$H139*OFFSET(ORÇAMENTO!$X$15,ROW(AH139)-ROW(AH$15),0),
ROUND(ROUND(OFFSET($P139,0,AH$13),15-13*ORÇAMENTO!$AF$7)*OFFSET(ORÇAMENTO!$W$15,ROW(AH139)-ROW(AH$15),0),15-13*ORÇAMENTO!$AF$11)),0)</f>
        <v>0</v>
      </c>
      <c r="AI139" s="545">
        <f ca="1">IF(AND($D139="Serviço",AI$12&lt;&gt;0,$H139&gt;0,OR(AUTOEVENTO&lt;&gt;"manual",$M139&lt;&gt;1)),
IF(Import.TipoArredondamento&lt;&gt;"TransfereGOV",
ROUND(OFFSET($P139,0,AI$13),15-13*ORÇAMENTO!$AF$7)/$H139*OFFSET(ORÇAMENTO!$X$15,ROW(AI139)-ROW(AI$15),0),
ROUND(ROUND(OFFSET($P139,0,AI$13),15-13*ORÇAMENTO!$AF$7)*OFFSET(ORÇAMENTO!$W$15,ROW(AI139)-ROW(AI$15),0),15-13*ORÇAMENTO!$AF$11)),0)</f>
        <v>0</v>
      </c>
      <c r="AJ139" s="545">
        <f ca="1">IF(AND($D139="Serviço",AJ$12&lt;&gt;0,$H139&gt;0,OR(AUTOEVENTO&lt;&gt;"manual",$M139&lt;&gt;1)),
IF(Import.TipoArredondamento&lt;&gt;"TransfereGOV",
ROUND(OFFSET($P139,0,AJ$13),15-13*ORÇAMENTO!$AF$7)/$H139*OFFSET(ORÇAMENTO!$X$15,ROW(AJ139)-ROW(AJ$15),0),
ROUND(ROUND(OFFSET($P139,0,AJ$13),15-13*ORÇAMENTO!$AF$7)*OFFSET(ORÇAMENTO!$W$15,ROW(AJ139)-ROW(AJ$15),0),15-13*ORÇAMENTO!$AF$11)),0)</f>
        <v>0</v>
      </c>
      <c r="AK139" s="546">
        <f ca="1">IF(AND($D139="Serviço",AK$12&lt;&gt;0,$H139&gt;0,OR(AUTOEVENTO&lt;&gt;"manual",$M139&lt;&gt;1)),
IF(Import.TipoArredondamento&lt;&gt;"TransfereGOV",
ROUND(OFFSET($P139,0,AK$13),15-13*ORÇAMENTO!$AF$7)/$H139*OFFSET(ORÇAMENTO!$X$15,ROW(AK139)-ROW(AK$15),0),
ROUND(ROUND(OFFSET($P139,0,AK$13),15-13*ORÇAMENTO!$AF$7)*OFFSET(ORÇAMENTO!$W$15,ROW(AK139)-ROW(AK$15),0),15-13*ORÇAMENTO!$AF$11)),0)</f>
        <v>0</v>
      </c>
      <c r="AM139" s="181">
        <f ca="1">IF($D139&lt;&gt;"Serviço",0,IF(AND(AUTOEVENTO="Manual",$M139=1),0,IF(OFFSET(CRONOPLE!$F$14,$M139,AM$13)="",10^12,OFFSET(CRONOPLE!$F$14,$M139,AM$13))))</f>
        <v>1000000000000</v>
      </c>
      <c r="AN139" s="181">
        <f ca="1">IF($D139&lt;&gt;"Serviço",0,IF(AND(AUTOEVENTO="Manual",$M139=1),0,IF(OFFSET(CRONOPLE!$F$14,$M139,AN$13)="",10^12,OFFSET(CRONOPLE!$F$14,$M139,AN$13))))</f>
        <v>1000000000000</v>
      </c>
      <c r="AO139" s="181">
        <f ca="1">IF($D139&lt;&gt;"Serviço",0,IF(AND(AUTOEVENTO="Manual",$M139=1),0,IF(OFFSET(CRONOPLE!$F$14,$M139,AO$13)="",10^12,OFFSET(CRONOPLE!$F$14,$M139,AO$13))))</f>
        <v>1000000000000</v>
      </c>
      <c r="AP139" s="181">
        <f ca="1">IF($D139&lt;&gt;"Serviço",0,IF(AND(AUTOEVENTO="Manual",$M139=1),0,IF(OFFSET(CRONOPLE!$F$14,$M139,AP$13)="",10^12,OFFSET(CRONOPLE!$F$14,$M139,AP$13))))</f>
        <v>1000000000000</v>
      </c>
      <c r="AQ139" s="181">
        <f ca="1">IF($D139&lt;&gt;"Serviço",0,IF(AND(AUTOEVENTO="Manual",$M139=1),0,IF(OFFSET(CRONOPLE!$F$14,$M139,AQ$13)="",10^12,OFFSET(CRONOPLE!$F$14,$M139,AQ$13))))</f>
        <v>1000000000000</v>
      </c>
      <c r="AR139" s="181">
        <f ca="1">IF($D139&lt;&gt;"Serviço",0,IF(AND(AUTOEVENTO="Manual",$M139=1),0,IF(OFFSET(CRONOPLE!$F$14,$M139,AR$13)="",10^12,OFFSET(CRONOPLE!$F$14,$M139,AR$13))))</f>
        <v>1000000000000</v>
      </c>
      <c r="AS139" s="181">
        <f ca="1">IF($D139&lt;&gt;"Serviço",0,IF(AND(AUTOEVENTO="Manual",$M139=1),0,IF(OFFSET(CRONOPLE!$F$14,$M139,AS$13)="",10^12,OFFSET(CRONOPLE!$F$14,$M139,AS$13))))</f>
        <v>1000000000000</v>
      </c>
      <c r="AT139" s="181">
        <f ca="1">IF($D139&lt;&gt;"Serviço",0,IF(AND(AUTOEVENTO="Manual",$M139=1),0,IF(OFFSET(CRONOPLE!$F$14,$M139,AT$13)="",10^12,OFFSET(CRONOPLE!$F$14,$M139,AT$13))))</f>
        <v>1000000000000</v>
      </c>
      <c r="AU139" s="181">
        <f ca="1">IF($D139&lt;&gt;"Serviço",0,IF(AND(AUTOEVENTO="Manual",$M139=1),0,IF(OFFSET(CRONOPLE!$F$14,$M139,AU$13)="",10^12,OFFSET(CRONOPLE!$F$14,$M139,AU$13))))</f>
        <v>1000000000000</v>
      </c>
      <c r="AV139" s="181">
        <f ca="1">IF($D139&lt;&gt;"Serviço",0,IF(AND(AUTOEVENTO="Manual",$M139=1),0,IF(OFFSET(CRONOPLE!$F$14,$M139,AV$13)="",10^12,OFFSET(CRONOPLE!$F$14,$M139,AV$13))))</f>
        <v>1000000000000</v>
      </c>
      <c r="AX139" s="182">
        <f ca="1">IF($D139&lt;&gt;"Serviço",0,IF(OR(AND(AUTOEVENTO="Manual",$M139=1),$M139&gt;(ROW(PLE.lastrow)-ROW(PLE.firstrow))),0,IF(OFFSET(PLE!$G$14,$M139,AX$13)="",10^12,OFFSET(PLE!$G$14,$M139,AX$13))))</f>
        <v>1000000000000</v>
      </c>
      <c r="AY139" s="182">
        <f ca="1">IF($D139&lt;&gt;"Serviço",0,IF(OR(AND(AUTOEVENTO="Manual",$M139=1),$M139&gt;(ROW(PLE.lastrow)-ROW(PLE.firstrow))),0,IF(OFFSET(PLE!$G$14,$M139,AY$13)="",10^12,OFFSET(PLE!$G$14,$M139,AY$13))))</f>
        <v>1000000000000</v>
      </c>
      <c r="AZ139" s="182">
        <f ca="1">IF($D139&lt;&gt;"Serviço",0,IF(OR(AND(AUTOEVENTO="Manual",$M139=1),$M139&gt;(ROW(PLE.lastrow)-ROW(PLE.firstrow))),0,IF(OFFSET(PLE!$G$14,$M139,AZ$13)="",10^12,OFFSET(PLE!$G$14,$M139,AZ$13))))</f>
        <v>1000000000000</v>
      </c>
      <c r="BA139" s="182">
        <f ca="1">IF($D139&lt;&gt;"Serviço",0,IF(OR(AND(AUTOEVENTO="Manual",$M139=1),$M139&gt;(ROW(PLE.lastrow)-ROW(PLE.firstrow))),0,IF(OFFSET(PLE!$G$14,$M139,BA$13)="",10^12,OFFSET(PLE!$G$14,$M139,BA$13))))</f>
        <v>1000000000000</v>
      </c>
      <c r="BB139" s="182">
        <f ca="1">IF($D139&lt;&gt;"Serviço",0,IF(OR(AND(AUTOEVENTO="Manual",$M139=1),$M139&gt;(ROW(PLE.lastrow)-ROW(PLE.firstrow))),0,IF(OFFSET(PLE!$G$14,$M139,BB$13)="",10^12,OFFSET(PLE!$G$14,$M139,BB$13))))</f>
        <v>1000000000000</v>
      </c>
      <c r="BC139" s="182">
        <f ca="1">IF($D139&lt;&gt;"Serviço",0,IF(OR(AND(AUTOEVENTO="Manual",$M139=1),$M139&gt;(ROW(PLE.lastrow)-ROW(PLE.firstrow))),0,IF(OFFSET(PLE!$G$14,$M139,BC$13)="",10^12,OFFSET(PLE!$G$14,$M139,BC$13))))</f>
        <v>1000000000000</v>
      </c>
      <c r="BD139" s="182">
        <f ca="1">IF($D139&lt;&gt;"Serviço",0,IF(OR(AND(AUTOEVENTO="Manual",$M139=1),$M139&gt;(ROW(PLE.lastrow)-ROW(PLE.firstrow))),0,IF(OFFSET(PLE!$G$14,$M139,BD$13)="",10^12,OFFSET(PLE!$G$14,$M139,BD$13))))</f>
        <v>1000000000000</v>
      </c>
      <c r="BE139" s="182">
        <f ca="1">IF($D139&lt;&gt;"Serviço",0,IF(OR(AND(AUTOEVENTO="Manual",$M139=1),$M139&gt;(ROW(PLE.lastrow)-ROW(PLE.firstrow))),0,IF(OFFSET(PLE!$G$14,$M139,BE$13)="",10^12,OFFSET(PLE!$G$14,$M139,BE$13))))</f>
        <v>1000000000000</v>
      </c>
      <c r="BF139" s="182">
        <f ca="1">IF($D139&lt;&gt;"Serviço",0,IF(OR(AND(AUTOEVENTO="Manual",$M139=1),$M139&gt;(ROW(PLE.lastrow)-ROW(PLE.firstrow))),0,IF(OFFSET(PLE!$G$14,$M139,BF$13)="",10^12,OFFSET(PLE!$G$14,$M139,BF$13))))</f>
        <v>1000000000000</v>
      </c>
      <c r="BG139" s="182">
        <f ca="1">IF($D139&lt;&gt;"Serviço",0,IF(OR(AND(AUTOEVENTO="Manual",$M139=1),$M139&gt;(ROW(PLE.lastrow)-ROW(PLE.firstrow))),0,IF(OFFSET(PLE!$G$14,$M139,BG$13)="",10^12,OFFSET(PLE!$G$14,$M139,BG$13))))</f>
        <v>1000000000000</v>
      </c>
    </row>
    <row r="140" spans="1:59" ht="25.5" x14ac:dyDescent="0.2">
      <c r="A140" s="7" t="str">
        <f ca="1">IF(AUTOEVENTO="Manual",IF(K140&lt;&gt;"",MIN(VALUE(LEFT(K140,FIND(".",K140)-1)),COUNTA(EVENTOS.Lista)),0),IF(OR($B140&gt;AUTOEVENTO,$B140="S",$B140=0),SUBSTITUTE(OFFSET($A140,-1,0),IF($D140="Serviço",".",""),""),ROW(A140)-ROW($A$15)&amp;"."))</f>
        <v>112</v>
      </c>
      <c r="B140" s="7" t="str">
        <f ca="1">OFFSET(ORÇAMENTO!C$15,ROW(B140)-ROW(B$15),0)</f>
        <v>S</v>
      </c>
      <c r="C140" s="7" t="str">
        <f ca="1">OFFSET(ORÇAMENTO!L$15,ROW(C140)-ROW(C$15),0)</f>
        <v>F</v>
      </c>
      <c r="D140" s="118" t="str">
        <f ca="1">OFFSET(ORÇAMENTO!N$15,ROW(D140)-ROW(D$15),0)</f>
        <v>Serviço</v>
      </c>
      <c r="E140" s="119" t="str">
        <f ca="1">OFFSET(ORÇAMENTO!O$15,ROW(E140)-ROW(E$15),0)</f>
        <v>8.2.13.</v>
      </c>
      <c r="F140" s="172" t="str">
        <f ca="1">OFFSET(ORÇAMENTO!R$15,ROW(F140)-ROW(F$15),0)</f>
        <v>BANCO ARTICULADO, EM AÇO INOX, PARA PCD, FIXADO NA PAREDE - FORNECIMENTO E INSTALAÇÃO. AF_02/2026</v>
      </c>
      <c r="G140" s="173" t="str">
        <f ca="1">IF($D140&lt;&gt;"Serviço","",OFFSET(ORÇAMENTO!S$15,ROW(G140)-ROW(G$15),0))</f>
        <v>UN</v>
      </c>
      <c r="H140" s="124">
        <f ca="1">IF($D140&lt;&gt;"Serviço",0,IF(ACOMPANHAMENTO="BM",ROUND(OFFSET(ORÇAMENTO!AJ$15,ROW(H140)-ROW(H$15),0),15-13*ORÇAMENTO!$AF$7),SUMPRODUCT(($Q$12:$AA$12&lt;&gt;"")*ROUND($Q140:$AA140,15-13*ORÇAMENTO!$AF$7))))</f>
        <v>2</v>
      </c>
      <c r="I140" s="561"/>
      <c r="K140" s="174"/>
      <c r="L140" s="175" t="s">
        <v>255</v>
      </c>
      <c r="M140" s="176">
        <f ca="1">IF($D140&lt;&gt;"Serviço","",IF(AUTOEVENTO="manual",$A140,IF(ISERROR(MATCH($A140,$A$15:OFFSET($A140,-1,0),0)),MAX($M$15:OFFSET(M140,-1,0))+1,INDEX($M$15:OFFSET(M140,-1,0),MATCH($A140,$A$15:OFFSET($A140,-1,0),0)))))</f>
        <v>19</v>
      </c>
      <c r="N140" s="177" t="str">
        <f ca="1">IF($D140&lt;&gt;"Serviço","",IF(AUTOEVENTO="Manual",IF($A140=0,"&lt;-- defina o número do agrupador",OFFSET(EVENTOS!$D$14,$A140,0)),OFFSET($F$15,$A140,0)))</f>
        <v>ACESSÓRIOS  E ACESSIBILIDADE</v>
      </c>
      <c r="O140" s="178"/>
      <c r="Q140" s="178"/>
      <c r="R140" s="179"/>
      <c r="S140" s="179"/>
      <c r="T140" s="179"/>
      <c r="U140" s="179"/>
      <c r="V140" s="179"/>
      <c r="W140" s="179"/>
      <c r="X140" s="179"/>
      <c r="Y140" s="179"/>
      <c r="Z140" s="180"/>
      <c r="AB140" s="544">
        <f ca="1">IF(AND($D140="Serviço",AB$12&lt;&gt;0,$H140&gt;0,OR(AUTOEVENTO&lt;&gt;"manual",$M140&lt;&gt;1)),
IF(Import.TipoArredondamento&lt;&gt;"TransfereGOV",
ROUND(OFFSET($P140,0,AB$13),15-13*ORÇAMENTO!$AF$7)/$H140*OFFSET(ORÇAMENTO!$X$15,ROW(AB140)-ROW(AB$15),0),
ROUND(ROUND(OFFSET($P140,0,AB$13),15-13*ORÇAMENTO!$AF$7)*OFFSET(ORÇAMENTO!$W$15,ROW(AB140)-ROW(AB$15),0),15-13*ORÇAMENTO!$AF$11)),0)</f>
        <v>0</v>
      </c>
      <c r="AC140" s="545">
        <f ca="1">IF(AND($D140="Serviço",AC$12&lt;&gt;0,$H140&gt;0,OR(AUTOEVENTO&lt;&gt;"manual",$M140&lt;&gt;1)),
IF(Import.TipoArredondamento&lt;&gt;"TransfereGOV",
ROUND(OFFSET($P140,0,AC$13),15-13*ORÇAMENTO!$AF$7)/$H140*OFFSET(ORÇAMENTO!$X$15,ROW(AC140)-ROW(AC$15),0),
ROUND(ROUND(OFFSET($P140,0,AC$13),15-13*ORÇAMENTO!$AF$7)*OFFSET(ORÇAMENTO!$W$15,ROW(AC140)-ROW(AC$15),0),15-13*ORÇAMENTO!$AF$11)),0)</f>
        <v>0</v>
      </c>
      <c r="AD140" s="545">
        <f ca="1">IF(AND($D140="Serviço",AD$12&lt;&gt;0,$H140&gt;0,OR(AUTOEVENTO&lt;&gt;"manual",$M140&lt;&gt;1)),
IF(Import.TipoArredondamento&lt;&gt;"TransfereGOV",
ROUND(OFFSET($P140,0,AD$13),15-13*ORÇAMENTO!$AF$7)/$H140*OFFSET(ORÇAMENTO!$X$15,ROW(AD140)-ROW(AD$15),0),
ROUND(ROUND(OFFSET($P140,0,AD$13),15-13*ORÇAMENTO!$AF$7)*OFFSET(ORÇAMENTO!$W$15,ROW(AD140)-ROW(AD$15),0),15-13*ORÇAMENTO!$AF$11)),0)</f>
        <v>0</v>
      </c>
      <c r="AE140" s="545">
        <f ca="1">IF(AND($D140="Serviço",AE$12&lt;&gt;0,$H140&gt;0,OR(AUTOEVENTO&lt;&gt;"manual",$M140&lt;&gt;1)),
IF(Import.TipoArredondamento&lt;&gt;"TransfereGOV",
ROUND(OFFSET($P140,0,AE$13),15-13*ORÇAMENTO!$AF$7)/$H140*OFFSET(ORÇAMENTO!$X$15,ROW(AE140)-ROW(AE$15),0),
ROUND(ROUND(OFFSET($P140,0,AE$13),15-13*ORÇAMENTO!$AF$7)*OFFSET(ORÇAMENTO!$W$15,ROW(AE140)-ROW(AE$15),0),15-13*ORÇAMENTO!$AF$11)),0)</f>
        <v>0</v>
      </c>
      <c r="AF140" s="545">
        <f ca="1">IF(AND($D140="Serviço",AF$12&lt;&gt;0,$H140&gt;0,OR(AUTOEVENTO&lt;&gt;"manual",$M140&lt;&gt;1)),
IF(Import.TipoArredondamento&lt;&gt;"TransfereGOV",
ROUND(OFFSET($P140,0,AF$13),15-13*ORÇAMENTO!$AF$7)/$H140*OFFSET(ORÇAMENTO!$X$15,ROW(AF140)-ROW(AF$15),0),
ROUND(ROUND(OFFSET($P140,0,AF$13),15-13*ORÇAMENTO!$AF$7)*OFFSET(ORÇAMENTO!$W$15,ROW(AF140)-ROW(AF$15),0),15-13*ORÇAMENTO!$AF$11)),0)</f>
        <v>0</v>
      </c>
      <c r="AG140" s="545">
        <f ca="1">IF(AND($D140="Serviço",AG$12&lt;&gt;0,$H140&gt;0,OR(AUTOEVENTO&lt;&gt;"manual",$M140&lt;&gt;1)),
IF(Import.TipoArredondamento&lt;&gt;"TransfereGOV",
ROUND(OFFSET($P140,0,AG$13),15-13*ORÇAMENTO!$AF$7)/$H140*OFFSET(ORÇAMENTO!$X$15,ROW(AG140)-ROW(AG$15),0),
ROUND(ROUND(OFFSET($P140,0,AG$13),15-13*ORÇAMENTO!$AF$7)*OFFSET(ORÇAMENTO!$W$15,ROW(AG140)-ROW(AG$15),0),15-13*ORÇAMENTO!$AF$11)),0)</f>
        <v>0</v>
      </c>
      <c r="AH140" s="545">
        <f ca="1">IF(AND($D140="Serviço",AH$12&lt;&gt;0,$H140&gt;0,OR(AUTOEVENTO&lt;&gt;"manual",$M140&lt;&gt;1)),
IF(Import.TipoArredondamento&lt;&gt;"TransfereGOV",
ROUND(OFFSET($P140,0,AH$13),15-13*ORÇAMENTO!$AF$7)/$H140*OFFSET(ORÇAMENTO!$X$15,ROW(AH140)-ROW(AH$15),0),
ROUND(ROUND(OFFSET($P140,0,AH$13),15-13*ORÇAMENTO!$AF$7)*OFFSET(ORÇAMENTO!$W$15,ROW(AH140)-ROW(AH$15),0),15-13*ORÇAMENTO!$AF$11)),0)</f>
        <v>0</v>
      </c>
      <c r="AI140" s="545">
        <f ca="1">IF(AND($D140="Serviço",AI$12&lt;&gt;0,$H140&gt;0,OR(AUTOEVENTO&lt;&gt;"manual",$M140&lt;&gt;1)),
IF(Import.TipoArredondamento&lt;&gt;"TransfereGOV",
ROUND(OFFSET($P140,0,AI$13),15-13*ORÇAMENTO!$AF$7)/$H140*OFFSET(ORÇAMENTO!$X$15,ROW(AI140)-ROW(AI$15),0),
ROUND(ROUND(OFFSET($P140,0,AI$13),15-13*ORÇAMENTO!$AF$7)*OFFSET(ORÇAMENTO!$W$15,ROW(AI140)-ROW(AI$15),0),15-13*ORÇAMENTO!$AF$11)),0)</f>
        <v>0</v>
      </c>
      <c r="AJ140" s="545">
        <f ca="1">IF(AND($D140="Serviço",AJ$12&lt;&gt;0,$H140&gt;0,OR(AUTOEVENTO&lt;&gt;"manual",$M140&lt;&gt;1)),
IF(Import.TipoArredondamento&lt;&gt;"TransfereGOV",
ROUND(OFFSET($P140,0,AJ$13),15-13*ORÇAMENTO!$AF$7)/$H140*OFFSET(ORÇAMENTO!$X$15,ROW(AJ140)-ROW(AJ$15),0),
ROUND(ROUND(OFFSET($P140,0,AJ$13),15-13*ORÇAMENTO!$AF$7)*OFFSET(ORÇAMENTO!$W$15,ROW(AJ140)-ROW(AJ$15),0),15-13*ORÇAMENTO!$AF$11)),0)</f>
        <v>0</v>
      </c>
      <c r="AK140" s="546">
        <f ca="1">IF(AND($D140="Serviço",AK$12&lt;&gt;0,$H140&gt;0,OR(AUTOEVENTO&lt;&gt;"manual",$M140&lt;&gt;1)),
IF(Import.TipoArredondamento&lt;&gt;"TransfereGOV",
ROUND(OFFSET($P140,0,AK$13),15-13*ORÇAMENTO!$AF$7)/$H140*OFFSET(ORÇAMENTO!$X$15,ROW(AK140)-ROW(AK$15),0),
ROUND(ROUND(OFFSET($P140,0,AK$13),15-13*ORÇAMENTO!$AF$7)*OFFSET(ORÇAMENTO!$W$15,ROW(AK140)-ROW(AK$15),0),15-13*ORÇAMENTO!$AF$11)),0)</f>
        <v>0</v>
      </c>
      <c r="AM140" s="181">
        <f ca="1">IF($D140&lt;&gt;"Serviço",0,IF(AND(AUTOEVENTO="Manual",$M140=1),0,IF(OFFSET(CRONOPLE!$F$14,$M140,AM$13)="",10^12,OFFSET(CRONOPLE!$F$14,$M140,AM$13))))</f>
        <v>1000000000000</v>
      </c>
      <c r="AN140" s="181">
        <f ca="1">IF($D140&lt;&gt;"Serviço",0,IF(AND(AUTOEVENTO="Manual",$M140=1),0,IF(OFFSET(CRONOPLE!$F$14,$M140,AN$13)="",10^12,OFFSET(CRONOPLE!$F$14,$M140,AN$13))))</f>
        <v>1000000000000</v>
      </c>
      <c r="AO140" s="181">
        <f ca="1">IF($D140&lt;&gt;"Serviço",0,IF(AND(AUTOEVENTO="Manual",$M140=1),0,IF(OFFSET(CRONOPLE!$F$14,$M140,AO$13)="",10^12,OFFSET(CRONOPLE!$F$14,$M140,AO$13))))</f>
        <v>1000000000000</v>
      </c>
      <c r="AP140" s="181">
        <f ca="1">IF($D140&lt;&gt;"Serviço",0,IF(AND(AUTOEVENTO="Manual",$M140=1),0,IF(OFFSET(CRONOPLE!$F$14,$M140,AP$13)="",10^12,OFFSET(CRONOPLE!$F$14,$M140,AP$13))))</f>
        <v>1000000000000</v>
      </c>
      <c r="AQ140" s="181">
        <f ca="1">IF($D140&lt;&gt;"Serviço",0,IF(AND(AUTOEVENTO="Manual",$M140=1),0,IF(OFFSET(CRONOPLE!$F$14,$M140,AQ$13)="",10^12,OFFSET(CRONOPLE!$F$14,$M140,AQ$13))))</f>
        <v>1000000000000</v>
      </c>
      <c r="AR140" s="181">
        <f ca="1">IF($D140&lt;&gt;"Serviço",0,IF(AND(AUTOEVENTO="Manual",$M140=1),0,IF(OFFSET(CRONOPLE!$F$14,$M140,AR$13)="",10^12,OFFSET(CRONOPLE!$F$14,$M140,AR$13))))</f>
        <v>1000000000000</v>
      </c>
      <c r="AS140" s="181">
        <f ca="1">IF($D140&lt;&gt;"Serviço",0,IF(AND(AUTOEVENTO="Manual",$M140=1),0,IF(OFFSET(CRONOPLE!$F$14,$M140,AS$13)="",10^12,OFFSET(CRONOPLE!$F$14,$M140,AS$13))))</f>
        <v>1000000000000</v>
      </c>
      <c r="AT140" s="181">
        <f ca="1">IF($D140&lt;&gt;"Serviço",0,IF(AND(AUTOEVENTO="Manual",$M140=1),0,IF(OFFSET(CRONOPLE!$F$14,$M140,AT$13)="",10^12,OFFSET(CRONOPLE!$F$14,$M140,AT$13))))</f>
        <v>1000000000000</v>
      </c>
      <c r="AU140" s="181">
        <f ca="1">IF($D140&lt;&gt;"Serviço",0,IF(AND(AUTOEVENTO="Manual",$M140=1),0,IF(OFFSET(CRONOPLE!$F$14,$M140,AU$13)="",10^12,OFFSET(CRONOPLE!$F$14,$M140,AU$13))))</f>
        <v>1000000000000</v>
      </c>
      <c r="AV140" s="181">
        <f ca="1">IF($D140&lt;&gt;"Serviço",0,IF(AND(AUTOEVENTO="Manual",$M140=1),0,IF(OFFSET(CRONOPLE!$F$14,$M140,AV$13)="",10^12,OFFSET(CRONOPLE!$F$14,$M140,AV$13))))</f>
        <v>1000000000000</v>
      </c>
      <c r="AX140" s="182">
        <f ca="1">IF($D140&lt;&gt;"Serviço",0,IF(OR(AND(AUTOEVENTO="Manual",$M140=1),$M140&gt;(ROW(PLE.lastrow)-ROW(PLE.firstrow))),0,IF(OFFSET(PLE!$G$14,$M140,AX$13)="",10^12,OFFSET(PLE!$G$14,$M140,AX$13))))</f>
        <v>1000000000000</v>
      </c>
      <c r="AY140" s="182">
        <f ca="1">IF($D140&lt;&gt;"Serviço",0,IF(OR(AND(AUTOEVENTO="Manual",$M140=1),$M140&gt;(ROW(PLE.lastrow)-ROW(PLE.firstrow))),0,IF(OFFSET(PLE!$G$14,$M140,AY$13)="",10^12,OFFSET(PLE!$G$14,$M140,AY$13))))</f>
        <v>1000000000000</v>
      </c>
      <c r="AZ140" s="182">
        <f ca="1">IF($D140&lt;&gt;"Serviço",0,IF(OR(AND(AUTOEVENTO="Manual",$M140=1),$M140&gt;(ROW(PLE.lastrow)-ROW(PLE.firstrow))),0,IF(OFFSET(PLE!$G$14,$M140,AZ$13)="",10^12,OFFSET(PLE!$G$14,$M140,AZ$13))))</f>
        <v>1000000000000</v>
      </c>
      <c r="BA140" s="182">
        <f ca="1">IF($D140&lt;&gt;"Serviço",0,IF(OR(AND(AUTOEVENTO="Manual",$M140=1),$M140&gt;(ROW(PLE.lastrow)-ROW(PLE.firstrow))),0,IF(OFFSET(PLE!$G$14,$M140,BA$13)="",10^12,OFFSET(PLE!$G$14,$M140,BA$13))))</f>
        <v>1000000000000</v>
      </c>
      <c r="BB140" s="182">
        <f ca="1">IF($D140&lt;&gt;"Serviço",0,IF(OR(AND(AUTOEVENTO="Manual",$M140=1),$M140&gt;(ROW(PLE.lastrow)-ROW(PLE.firstrow))),0,IF(OFFSET(PLE!$G$14,$M140,BB$13)="",10^12,OFFSET(PLE!$G$14,$M140,BB$13))))</f>
        <v>1000000000000</v>
      </c>
      <c r="BC140" s="182">
        <f ca="1">IF($D140&lt;&gt;"Serviço",0,IF(OR(AND(AUTOEVENTO="Manual",$M140=1),$M140&gt;(ROW(PLE.lastrow)-ROW(PLE.firstrow))),0,IF(OFFSET(PLE!$G$14,$M140,BC$13)="",10^12,OFFSET(PLE!$G$14,$M140,BC$13))))</f>
        <v>1000000000000</v>
      </c>
      <c r="BD140" s="182">
        <f ca="1">IF($D140&lt;&gt;"Serviço",0,IF(OR(AND(AUTOEVENTO="Manual",$M140=1),$M140&gt;(ROW(PLE.lastrow)-ROW(PLE.firstrow))),0,IF(OFFSET(PLE!$G$14,$M140,BD$13)="",10^12,OFFSET(PLE!$G$14,$M140,BD$13))))</f>
        <v>1000000000000</v>
      </c>
      <c r="BE140" s="182">
        <f ca="1">IF($D140&lt;&gt;"Serviço",0,IF(OR(AND(AUTOEVENTO="Manual",$M140=1),$M140&gt;(ROW(PLE.lastrow)-ROW(PLE.firstrow))),0,IF(OFFSET(PLE!$G$14,$M140,BE$13)="",10^12,OFFSET(PLE!$G$14,$M140,BE$13))))</f>
        <v>1000000000000</v>
      </c>
      <c r="BF140" s="182">
        <f ca="1">IF($D140&lt;&gt;"Serviço",0,IF(OR(AND(AUTOEVENTO="Manual",$M140=1),$M140&gt;(ROW(PLE.lastrow)-ROW(PLE.firstrow))),0,IF(OFFSET(PLE!$G$14,$M140,BF$13)="",10^12,OFFSET(PLE!$G$14,$M140,BF$13))))</f>
        <v>1000000000000</v>
      </c>
      <c r="BG140" s="182">
        <f ca="1">IF($D140&lt;&gt;"Serviço",0,IF(OR(AND(AUTOEVENTO="Manual",$M140=1),$M140&gt;(ROW(PLE.lastrow)-ROW(PLE.firstrow))),0,IF(OFFSET(PLE!$G$14,$M140,BG$13)="",10^12,OFFSET(PLE!$G$14,$M140,BG$13))))</f>
        <v>1000000000000</v>
      </c>
    </row>
    <row r="141" spans="1:59" ht="25.5" x14ac:dyDescent="0.2">
      <c r="A141" s="7" t="str">
        <f ca="1">IF(AUTOEVENTO="Manual",IF(K141&lt;&gt;"",MIN(VALUE(LEFT(K141,FIND(".",K141)-1)),COUNTA(EVENTOS.Lista)),0),IF(OR($B141&gt;AUTOEVENTO,$B141="S",$B141=0),SUBSTITUTE(OFFSET($A141,-1,0),IF($D141="Serviço",".",""),""),ROW(A141)-ROW($A$15)&amp;"."))</f>
        <v>112</v>
      </c>
      <c r="B141" s="7" t="str">
        <f ca="1">OFFSET(ORÇAMENTO!C$15,ROW(B141)-ROW(B$15),0)</f>
        <v>S</v>
      </c>
      <c r="C141" s="7" t="str">
        <f ca="1">OFFSET(ORÇAMENTO!L$15,ROW(C141)-ROW(C$15),0)</f>
        <v>F</v>
      </c>
      <c r="D141" s="118" t="str">
        <f ca="1">OFFSET(ORÇAMENTO!N$15,ROW(D141)-ROW(D$15),0)</f>
        <v>Serviço</v>
      </c>
      <c r="E141" s="119" t="str">
        <f ca="1">OFFSET(ORÇAMENTO!O$15,ROW(E141)-ROW(E$15),0)</f>
        <v>8.2.14.</v>
      </c>
      <c r="F141" s="172" t="str">
        <f ca="1">OFFSET(ORÇAMENTO!R$15,ROW(F141)-ROW(F$15),0)</f>
        <v>BARRA DE APOIO EM "L", EM AÇO INOX POLIDO 80 X 80 CM, FIXADA NA PAREDE - FORNECIMENTO E INSTALAÇÃO. AF_02/2026</v>
      </c>
      <c r="G141" s="173" t="str">
        <f ca="1">IF($D141&lt;&gt;"Serviço","",OFFSET(ORÇAMENTO!S$15,ROW(G141)-ROW(G$15),0))</f>
        <v>UN</v>
      </c>
      <c r="H141" s="124">
        <f ca="1">IF($D141&lt;&gt;"Serviço",0,IF(ACOMPANHAMENTO="BM",ROUND(OFFSET(ORÇAMENTO!AJ$15,ROW(H141)-ROW(H$15),0),15-13*ORÇAMENTO!$AF$7),SUMPRODUCT(($Q$12:$AA$12&lt;&gt;"")*ROUND($Q141:$AA141,15-13*ORÇAMENTO!$AF$7))))</f>
        <v>2</v>
      </c>
      <c r="I141" s="561"/>
      <c r="K141" s="174"/>
      <c r="L141" s="175" t="s">
        <v>255</v>
      </c>
      <c r="M141" s="176">
        <f ca="1">IF($D141&lt;&gt;"Serviço","",IF(AUTOEVENTO="manual",$A141,IF(ISERROR(MATCH($A141,$A$15:OFFSET($A141,-1,0),0)),MAX($M$15:OFFSET(M141,-1,0))+1,INDEX($M$15:OFFSET(M141,-1,0),MATCH($A141,$A$15:OFFSET($A141,-1,0),0)))))</f>
        <v>19</v>
      </c>
      <c r="N141" s="177" t="str">
        <f ca="1">IF($D141&lt;&gt;"Serviço","",IF(AUTOEVENTO="Manual",IF($A141=0,"&lt;-- defina o número do agrupador",OFFSET(EVENTOS!$D$14,$A141,0)),OFFSET($F$15,$A141,0)))</f>
        <v>ACESSÓRIOS  E ACESSIBILIDADE</v>
      </c>
      <c r="O141" s="178"/>
      <c r="Q141" s="178"/>
      <c r="R141" s="179"/>
      <c r="S141" s="179"/>
      <c r="T141" s="179"/>
      <c r="U141" s="179"/>
      <c r="V141" s="179"/>
      <c r="W141" s="179"/>
      <c r="X141" s="179"/>
      <c r="Y141" s="179"/>
      <c r="Z141" s="180"/>
      <c r="AB141" s="544">
        <f ca="1">IF(AND($D141="Serviço",AB$12&lt;&gt;0,$H141&gt;0,OR(AUTOEVENTO&lt;&gt;"manual",$M141&lt;&gt;1)),
IF(Import.TipoArredondamento&lt;&gt;"TransfereGOV",
ROUND(OFFSET($P141,0,AB$13),15-13*ORÇAMENTO!$AF$7)/$H141*OFFSET(ORÇAMENTO!$X$15,ROW(AB141)-ROW(AB$15),0),
ROUND(ROUND(OFFSET($P141,0,AB$13),15-13*ORÇAMENTO!$AF$7)*OFFSET(ORÇAMENTO!$W$15,ROW(AB141)-ROW(AB$15),0),15-13*ORÇAMENTO!$AF$11)),0)</f>
        <v>0</v>
      </c>
      <c r="AC141" s="545">
        <f ca="1">IF(AND($D141="Serviço",AC$12&lt;&gt;0,$H141&gt;0,OR(AUTOEVENTO&lt;&gt;"manual",$M141&lt;&gt;1)),
IF(Import.TipoArredondamento&lt;&gt;"TransfereGOV",
ROUND(OFFSET($P141,0,AC$13),15-13*ORÇAMENTO!$AF$7)/$H141*OFFSET(ORÇAMENTO!$X$15,ROW(AC141)-ROW(AC$15),0),
ROUND(ROUND(OFFSET($P141,0,AC$13),15-13*ORÇAMENTO!$AF$7)*OFFSET(ORÇAMENTO!$W$15,ROW(AC141)-ROW(AC$15),0),15-13*ORÇAMENTO!$AF$11)),0)</f>
        <v>0</v>
      </c>
      <c r="AD141" s="545">
        <f ca="1">IF(AND($D141="Serviço",AD$12&lt;&gt;0,$H141&gt;0,OR(AUTOEVENTO&lt;&gt;"manual",$M141&lt;&gt;1)),
IF(Import.TipoArredondamento&lt;&gt;"TransfereGOV",
ROUND(OFFSET($P141,0,AD$13),15-13*ORÇAMENTO!$AF$7)/$H141*OFFSET(ORÇAMENTO!$X$15,ROW(AD141)-ROW(AD$15),0),
ROUND(ROUND(OFFSET($P141,0,AD$13),15-13*ORÇAMENTO!$AF$7)*OFFSET(ORÇAMENTO!$W$15,ROW(AD141)-ROW(AD$15),0),15-13*ORÇAMENTO!$AF$11)),0)</f>
        <v>0</v>
      </c>
      <c r="AE141" s="545">
        <f ca="1">IF(AND($D141="Serviço",AE$12&lt;&gt;0,$H141&gt;0,OR(AUTOEVENTO&lt;&gt;"manual",$M141&lt;&gt;1)),
IF(Import.TipoArredondamento&lt;&gt;"TransfereGOV",
ROUND(OFFSET($P141,0,AE$13),15-13*ORÇAMENTO!$AF$7)/$H141*OFFSET(ORÇAMENTO!$X$15,ROW(AE141)-ROW(AE$15),0),
ROUND(ROUND(OFFSET($P141,0,AE$13),15-13*ORÇAMENTO!$AF$7)*OFFSET(ORÇAMENTO!$W$15,ROW(AE141)-ROW(AE$15),0),15-13*ORÇAMENTO!$AF$11)),0)</f>
        <v>0</v>
      </c>
      <c r="AF141" s="545">
        <f ca="1">IF(AND($D141="Serviço",AF$12&lt;&gt;0,$H141&gt;0,OR(AUTOEVENTO&lt;&gt;"manual",$M141&lt;&gt;1)),
IF(Import.TipoArredondamento&lt;&gt;"TransfereGOV",
ROUND(OFFSET($P141,0,AF$13),15-13*ORÇAMENTO!$AF$7)/$H141*OFFSET(ORÇAMENTO!$X$15,ROW(AF141)-ROW(AF$15),0),
ROUND(ROUND(OFFSET($P141,0,AF$13),15-13*ORÇAMENTO!$AF$7)*OFFSET(ORÇAMENTO!$W$15,ROW(AF141)-ROW(AF$15),0),15-13*ORÇAMENTO!$AF$11)),0)</f>
        <v>0</v>
      </c>
      <c r="AG141" s="545">
        <f ca="1">IF(AND($D141="Serviço",AG$12&lt;&gt;0,$H141&gt;0,OR(AUTOEVENTO&lt;&gt;"manual",$M141&lt;&gt;1)),
IF(Import.TipoArredondamento&lt;&gt;"TransfereGOV",
ROUND(OFFSET($P141,0,AG$13),15-13*ORÇAMENTO!$AF$7)/$H141*OFFSET(ORÇAMENTO!$X$15,ROW(AG141)-ROW(AG$15),0),
ROUND(ROUND(OFFSET($P141,0,AG$13),15-13*ORÇAMENTO!$AF$7)*OFFSET(ORÇAMENTO!$W$15,ROW(AG141)-ROW(AG$15),0),15-13*ORÇAMENTO!$AF$11)),0)</f>
        <v>0</v>
      </c>
      <c r="AH141" s="545">
        <f ca="1">IF(AND($D141="Serviço",AH$12&lt;&gt;0,$H141&gt;0,OR(AUTOEVENTO&lt;&gt;"manual",$M141&lt;&gt;1)),
IF(Import.TipoArredondamento&lt;&gt;"TransfereGOV",
ROUND(OFFSET($P141,0,AH$13),15-13*ORÇAMENTO!$AF$7)/$H141*OFFSET(ORÇAMENTO!$X$15,ROW(AH141)-ROW(AH$15),0),
ROUND(ROUND(OFFSET($P141,0,AH$13),15-13*ORÇAMENTO!$AF$7)*OFFSET(ORÇAMENTO!$W$15,ROW(AH141)-ROW(AH$15),0),15-13*ORÇAMENTO!$AF$11)),0)</f>
        <v>0</v>
      </c>
      <c r="AI141" s="545">
        <f ca="1">IF(AND($D141="Serviço",AI$12&lt;&gt;0,$H141&gt;0,OR(AUTOEVENTO&lt;&gt;"manual",$M141&lt;&gt;1)),
IF(Import.TipoArredondamento&lt;&gt;"TransfereGOV",
ROUND(OFFSET($P141,0,AI$13),15-13*ORÇAMENTO!$AF$7)/$H141*OFFSET(ORÇAMENTO!$X$15,ROW(AI141)-ROW(AI$15),0),
ROUND(ROUND(OFFSET($P141,0,AI$13),15-13*ORÇAMENTO!$AF$7)*OFFSET(ORÇAMENTO!$W$15,ROW(AI141)-ROW(AI$15),0),15-13*ORÇAMENTO!$AF$11)),0)</f>
        <v>0</v>
      </c>
      <c r="AJ141" s="545">
        <f ca="1">IF(AND($D141="Serviço",AJ$12&lt;&gt;0,$H141&gt;0,OR(AUTOEVENTO&lt;&gt;"manual",$M141&lt;&gt;1)),
IF(Import.TipoArredondamento&lt;&gt;"TransfereGOV",
ROUND(OFFSET($P141,0,AJ$13),15-13*ORÇAMENTO!$AF$7)/$H141*OFFSET(ORÇAMENTO!$X$15,ROW(AJ141)-ROW(AJ$15),0),
ROUND(ROUND(OFFSET($P141,0,AJ$13),15-13*ORÇAMENTO!$AF$7)*OFFSET(ORÇAMENTO!$W$15,ROW(AJ141)-ROW(AJ$15),0),15-13*ORÇAMENTO!$AF$11)),0)</f>
        <v>0</v>
      </c>
      <c r="AK141" s="546">
        <f ca="1">IF(AND($D141="Serviço",AK$12&lt;&gt;0,$H141&gt;0,OR(AUTOEVENTO&lt;&gt;"manual",$M141&lt;&gt;1)),
IF(Import.TipoArredondamento&lt;&gt;"TransfereGOV",
ROUND(OFFSET($P141,0,AK$13),15-13*ORÇAMENTO!$AF$7)/$H141*OFFSET(ORÇAMENTO!$X$15,ROW(AK141)-ROW(AK$15),0),
ROUND(ROUND(OFFSET($P141,0,AK$13),15-13*ORÇAMENTO!$AF$7)*OFFSET(ORÇAMENTO!$W$15,ROW(AK141)-ROW(AK$15),0),15-13*ORÇAMENTO!$AF$11)),0)</f>
        <v>0</v>
      </c>
      <c r="AM141" s="181">
        <f ca="1">IF($D141&lt;&gt;"Serviço",0,IF(AND(AUTOEVENTO="Manual",$M141=1),0,IF(OFFSET(CRONOPLE!$F$14,$M141,AM$13)="",10^12,OFFSET(CRONOPLE!$F$14,$M141,AM$13))))</f>
        <v>1000000000000</v>
      </c>
      <c r="AN141" s="181">
        <f ca="1">IF($D141&lt;&gt;"Serviço",0,IF(AND(AUTOEVENTO="Manual",$M141=1),0,IF(OFFSET(CRONOPLE!$F$14,$M141,AN$13)="",10^12,OFFSET(CRONOPLE!$F$14,$M141,AN$13))))</f>
        <v>1000000000000</v>
      </c>
      <c r="AO141" s="181">
        <f ca="1">IF($D141&lt;&gt;"Serviço",0,IF(AND(AUTOEVENTO="Manual",$M141=1),0,IF(OFFSET(CRONOPLE!$F$14,$M141,AO$13)="",10^12,OFFSET(CRONOPLE!$F$14,$M141,AO$13))))</f>
        <v>1000000000000</v>
      </c>
      <c r="AP141" s="181">
        <f ca="1">IF($D141&lt;&gt;"Serviço",0,IF(AND(AUTOEVENTO="Manual",$M141=1),0,IF(OFFSET(CRONOPLE!$F$14,$M141,AP$13)="",10^12,OFFSET(CRONOPLE!$F$14,$M141,AP$13))))</f>
        <v>1000000000000</v>
      </c>
      <c r="AQ141" s="181">
        <f ca="1">IF($D141&lt;&gt;"Serviço",0,IF(AND(AUTOEVENTO="Manual",$M141=1),0,IF(OFFSET(CRONOPLE!$F$14,$M141,AQ$13)="",10^12,OFFSET(CRONOPLE!$F$14,$M141,AQ$13))))</f>
        <v>1000000000000</v>
      </c>
      <c r="AR141" s="181">
        <f ca="1">IF($D141&lt;&gt;"Serviço",0,IF(AND(AUTOEVENTO="Manual",$M141=1),0,IF(OFFSET(CRONOPLE!$F$14,$M141,AR$13)="",10^12,OFFSET(CRONOPLE!$F$14,$M141,AR$13))))</f>
        <v>1000000000000</v>
      </c>
      <c r="AS141" s="181">
        <f ca="1">IF($D141&lt;&gt;"Serviço",0,IF(AND(AUTOEVENTO="Manual",$M141=1),0,IF(OFFSET(CRONOPLE!$F$14,$M141,AS$13)="",10^12,OFFSET(CRONOPLE!$F$14,$M141,AS$13))))</f>
        <v>1000000000000</v>
      </c>
      <c r="AT141" s="181">
        <f ca="1">IF($D141&lt;&gt;"Serviço",0,IF(AND(AUTOEVENTO="Manual",$M141=1),0,IF(OFFSET(CRONOPLE!$F$14,$M141,AT$13)="",10^12,OFFSET(CRONOPLE!$F$14,$M141,AT$13))))</f>
        <v>1000000000000</v>
      </c>
      <c r="AU141" s="181">
        <f ca="1">IF($D141&lt;&gt;"Serviço",0,IF(AND(AUTOEVENTO="Manual",$M141=1),0,IF(OFFSET(CRONOPLE!$F$14,$M141,AU$13)="",10^12,OFFSET(CRONOPLE!$F$14,$M141,AU$13))))</f>
        <v>1000000000000</v>
      </c>
      <c r="AV141" s="181">
        <f ca="1">IF($D141&lt;&gt;"Serviço",0,IF(AND(AUTOEVENTO="Manual",$M141=1),0,IF(OFFSET(CRONOPLE!$F$14,$M141,AV$13)="",10^12,OFFSET(CRONOPLE!$F$14,$M141,AV$13))))</f>
        <v>1000000000000</v>
      </c>
      <c r="AX141" s="182">
        <f ca="1">IF($D141&lt;&gt;"Serviço",0,IF(OR(AND(AUTOEVENTO="Manual",$M141=1),$M141&gt;(ROW(PLE.lastrow)-ROW(PLE.firstrow))),0,IF(OFFSET(PLE!$G$14,$M141,AX$13)="",10^12,OFFSET(PLE!$G$14,$M141,AX$13))))</f>
        <v>1000000000000</v>
      </c>
      <c r="AY141" s="182">
        <f ca="1">IF($D141&lt;&gt;"Serviço",0,IF(OR(AND(AUTOEVENTO="Manual",$M141=1),$M141&gt;(ROW(PLE.lastrow)-ROW(PLE.firstrow))),0,IF(OFFSET(PLE!$G$14,$M141,AY$13)="",10^12,OFFSET(PLE!$G$14,$M141,AY$13))))</f>
        <v>1000000000000</v>
      </c>
      <c r="AZ141" s="182">
        <f ca="1">IF($D141&lt;&gt;"Serviço",0,IF(OR(AND(AUTOEVENTO="Manual",$M141=1),$M141&gt;(ROW(PLE.lastrow)-ROW(PLE.firstrow))),0,IF(OFFSET(PLE!$G$14,$M141,AZ$13)="",10^12,OFFSET(PLE!$G$14,$M141,AZ$13))))</f>
        <v>1000000000000</v>
      </c>
      <c r="BA141" s="182">
        <f ca="1">IF($D141&lt;&gt;"Serviço",0,IF(OR(AND(AUTOEVENTO="Manual",$M141=1),$M141&gt;(ROW(PLE.lastrow)-ROW(PLE.firstrow))),0,IF(OFFSET(PLE!$G$14,$M141,BA$13)="",10^12,OFFSET(PLE!$G$14,$M141,BA$13))))</f>
        <v>1000000000000</v>
      </c>
      <c r="BB141" s="182">
        <f ca="1">IF($D141&lt;&gt;"Serviço",0,IF(OR(AND(AUTOEVENTO="Manual",$M141=1),$M141&gt;(ROW(PLE.lastrow)-ROW(PLE.firstrow))),0,IF(OFFSET(PLE!$G$14,$M141,BB$13)="",10^12,OFFSET(PLE!$G$14,$M141,BB$13))))</f>
        <v>1000000000000</v>
      </c>
      <c r="BC141" s="182">
        <f ca="1">IF($D141&lt;&gt;"Serviço",0,IF(OR(AND(AUTOEVENTO="Manual",$M141=1),$M141&gt;(ROW(PLE.lastrow)-ROW(PLE.firstrow))),0,IF(OFFSET(PLE!$G$14,$M141,BC$13)="",10^12,OFFSET(PLE!$G$14,$M141,BC$13))))</f>
        <v>1000000000000</v>
      </c>
      <c r="BD141" s="182">
        <f ca="1">IF($D141&lt;&gt;"Serviço",0,IF(OR(AND(AUTOEVENTO="Manual",$M141=1),$M141&gt;(ROW(PLE.lastrow)-ROW(PLE.firstrow))),0,IF(OFFSET(PLE!$G$14,$M141,BD$13)="",10^12,OFFSET(PLE!$G$14,$M141,BD$13))))</f>
        <v>1000000000000</v>
      </c>
      <c r="BE141" s="182">
        <f ca="1">IF($D141&lt;&gt;"Serviço",0,IF(OR(AND(AUTOEVENTO="Manual",$M141=1),$M141&gt;(ROW(PLE.lastrow)-ROW(PLE.firstrow))),0,IF(OFFSET(PLE!$G$14,$M141,BE$13)="",10^12,OFFSET(PLE!$G$14,$M141,BE$13))))</f>
        <v>1000000000000</v>
      </c>
      <c r="BF141" s="182">
        <f ca="1">IF($D141&lt;&gt;"Serviço",0,IF(OR(AND(AUTOEVENTO="Manual",$M141=1),$M141&gt;(ROW(PLE.lastrow)-ROW(PLE.firstrow))),0,IF(OFFSET(PLE!$G$14,$M141,BF$13)="",10^12,OFFSET(PLE!$G$14,$M141,BF$13))))</f>
        <v>1000000000000</v>
      </c>
      <c r="BG141" s="182">
        <f ca="1">IF($D141&lt;&gt;"Serviço",0,IF(OR(AND(AUTOEVENTO="Manual",$M141=1),$M141&gt;(ROW(PLE.lastrow)-ROW(PLE.firstrow))),0,IF(OFFSET(PLE!$G$14,$M141,BG$13)="",10^12,OFFSET(PLE!$G$14,$M141,BG$13))))</f>
        <v>1000000000000</v>
      </c>
    </row>
    <row r="142" spans="1:59" ht="12.75" x14ac:dyDescent="0.2">
      <c r="A142" s="7" t="str">
        <f t="shared" ca="1" si="14"/>
        <v>127.</v>
      </c>
      <c r="B142" s="7">
        <f ca="1">OFFSET(ORÇAMENTO!C$15,ROW(B142)-ROW(B$15),0)</f>
        <v>2</v>
      </c>
      <c r="C142" s="7" t="str">
        <f ca="1">OFFSET(ORÇAMENTO!L$15,ROW(C142)-ROW(C$15),0)</f>
        <v>F</v>
      </c>
      <c r="D142" s="118" t="str">
        <f ca="1">OFFSET(ORÇAMENTO!N$15,ROW(D142)-ROW(D$15),0)</f>
        <v>Nível 2</v>
      </c>
      <c r="E142" s="119" t="str">
        <f ca="1">OFFSET(ORÇAMENTO!O$15,ROW(E142)-ROW(E$15),0)</f>
        <v>8.3.</v>
      </c>
      <c r="F142" s="172" t="str">
        <f ca="1">OFFSET(ORÇAMENTO!R$15,ROW(F142)-ROW(F$15),0)</f>
        <v xml:space="preserve">MARMORARIA </v>
      </c>
      <c r="G142" s="173" t="str">
        <f ca="1">IF($D142&lt;&gt;"Serviço","",OFFSET(ORÇAMENTO!S$15,ROW(G142)-ROW(G$15),0))</f>
        <v/>
      </c>
      <c r="H142" s="124">
        <f ca="1">IF($D142&lt;&gt;"Serviço",0,IF(ACOMPANHAMENTO="BM",ROUND(OFFSET(ORÇAMENTO!AJ$15,ROW(H142)-ROW(H$15),0),15-13*ORÇAMENTO!$AF$7),SUMPRODUCT(($Q$12:$AA$12&lt;&gt;"")*ROUND($Q142:$AA142,15-13*ORÇAMENTO!$AF$7))))</f>
        <v>0</v>
      </c>
      <c r="I142" s="561"/>
      <c r="K142" s="174"/>
      <c r="L142" s="175" t="s">
        <v>255</v>
      </c>
      <c r="M142" s="176" t="str">
        <f ca="1">IF($D142&lt;&gt;"Serviço","",IF(AUTOEVENTO="manual",$A142,IF(ISERROR(MATCH($A142,$A$15:OFFSET($A142,-1,0),0)),MAX($M$15:OFFSET(M142,-1,0))+1,INDEX($M$15:OFFSET(M142,-1,0),MATCH($A142,$A$15:OFFSET($A142,-1,0),0)))))</f>
        <v/>
      </c>
      <c r="N142" s="177" t="str">
        <f ca="1">IF($D142&lt;&gt;"Serviço","",IF(AUTOEVENTO="Manual",IF($A142=0,"&lt;-- defina o número do agrupador",OFFSET(EVENTOS!$D$14,$A142,0)),OFFSET($F$15,$A142,0)))</f>
        <v/>
      </c>
      <c r="O142" s="178"/>
      <c r="Q142" s="178"/>
      <c r="R142" s="179"/>
      <c r="S142" s="179"/>
      <c r="T142" s="179"/>
      <c r="U142" s="179"/>
      <c r="V142" s="179"/>
      <c r="W142" s="179"/>
      <c r="X142" s="179"/>
      <c r="Y142" s="179"/>
      <c r="Z142" s="180"/>
      <c r="AB142" s="544">
        <f ca="1">IF(AND($D142="Serviço",AB$12&lt;&gt;0,$H142&gt;0,OR(AUTOEVENTO&lt;&gt;"manual",$M142&lt;&gt;1)),
IF(Import.TipoArredondamento&lt;&gt;"TransfereGOV",
ROUND(OFFSET($P142,0,AB$13),15-13*ORÇAMENTO!$AF$7)/$H142*OFFSET(ORÇAMENTO!$X$15,ROW(AB142)-ROW(AB$15),0),
ROUND(ROUND(OFFSET($P142,0,AB$13),15-13*ORÇAMENTO!$AF$7)*OFFSET(ORÇAMENTO!$W$15,ROW(AB142)-ROW(AB$15),0),15-13*ORÇAMENTO!$AF$11)),0)</f>
        <v>0</v>
      </c>
      <c r="AC142" s="545">
        <f ca="1">IF(AND($D142="Serviço",AC$12&lt;&gt;0,$H142&gt;0,OR(AUTOEVENTO&lt;&gt;"manual",$M142&lt;&gt;1)),
IF(Import.TipoArredondamento&lt;&gt;"TransfereGOV",
ROUND(OFFSET($P142,0,AC$13),15-13*ORÇAMENTO!$AF$7)/$H142*OFFSET(ORÇAMENTO!$X$15,ROW(AC142)-ROW(AC$15),0),
ROUND(ROUND(OFFSET($P142,0,AC$13),15-13*ORÇAMENTO!$AF$7)*OFFSET(ORÇAMENTO!$W$15,ROW(AC142)-ROW(AC$15),0),15-13*ORÇAMENTO!$AF$11)),0)</f>
        <v>0</v>
      </c>
      <c r="AD142" s="545">
        <f ca="1">IF(AND($D142="Serviço",AD$12&lt;&gt;0,$H142&gt;0,OR(AUTOEVENTO&lt;&gt;"manual",$M142&lt;&gt;1)),
IF(Import.TipoArredondamento&lt;&gt;"TransfereGOV",
ROUND(OFFSET($P142,0,AD$13),15-13*ORÇAMENTO!$AF$7)/$H142*OFFSET(ORÇAMENTO!$X$15,ROW(AD142)-ROW(AD$15),0),
ROUND(ROUND(OFFSET($P142,0,AD$13),15-13*ORÇAMENTO!$AF$7)*OFFSET(ORÇAMENTO!$W$15,ROW(AD142)-ROW(AD$15),0),15-13*ORÇAMENTO!$AF$11)),0)</f>
        <v>0</v>
      </c>
      <c r="AE142" s="545">
        <f ca="1">IF(AND($D142="Serviço",AE$12&lt;&gt;0,$H142&gt;0,OR(AUTOEVENTO&lt;&gt;"manual",$M142&lt;&gt;1)),
IF(Import.TipoArredondamento&lt;&gt;"TransfereGOV",
ROUND(OFFSET($P142,0,AE$13),15-13*ORÇAMENTO!$AF$7)/$H142*OFFSET(ORÇAMENTO!$X$15,ROW(AE142)-ROW(AE$15),0),
ROUND(ROUND(OFFSET($P142,0,AE$13),15-13*ORÇAMENTO!$AF$7)*OFFSET(ORÇAMENTO!$W$15,ROW(AE142)-ROW(AE$15),0),15-13*ORÇAMENTO!$AF$11)),0)</f>
        <v>0</v>
      </c>
      <c r="AF142" s="545">
        <f ca="1">IF(AND($D142="Serviço",AF$12&lt;&gt;0,$H142&gt;0,OR(AUTOEVENTO&lt;&gt;"manual",$M142&lt;&gt;1)),
IF(Import.TipoArredondamento&lt;&gt;"TransfereGOV",
ROUND(OFFSET($P142,0,AF$13),15-13*ORÇAMENTO!$AF$7)/$H142*OFFSET(ORÇAMENTO!$X$15,ROW(AF142)-ROW(AF$15),0),
ROUND(ROUND(OFFSET($P142,0,AF$13),15-13*ORÇAMENTO!$AF$7)*OFFSET(ORÇAMENTO!$W$15,ROW(AF142)-ROW(AF$15),0),15-13*ORÇAMENTO!$AF$11)),0)</f>
        <v>0</v>
      </c>
      <c r="AG142" s="545">
        <f ca="1">IF(AND($D142="Serviço",AG$12&lt;&gt;0,$H142&gt;0,OR(AUTOEVENTO&lt;&gt;"manual",$M142&lt;&gt;1)),
IF(Import.TipoArredondamento&lt;&gt;"TransfereGOV",
ROUND(OFFSET($P142,0,AG$13),15-13*ORÇAMENTO!$AF$7)/$H142*OFFSET(ORÇAMENTO!$X$15,ROW(AG142)-ROW(AG$15),0),
ROUND(ROUND(OFFSET($P142,0,AG$13),15-13*ORÇAMENTO!$AF$7)*OFFSET(ORÇAMENTO!$W$15,ROW(AG142)-ROW(AG$15),0),15-13*ORÇAMENTO!$AF$11)),0)</f>
        <v>0</v>
      </c>
      <c r="AH142" s="545">
        <f ca="1">IF(AND($D142="Serviço",AH$12&lt;&gt;0,$H142&gt;0,OR(AUTOEVENTO&lt;&gt;"manual",$M142&lt;&gt;1)),
IF(Import.TipoArredondamento&lt;&gt;"TransfereGOV",
ROUND(OFFSET($P142,0,AH$13),15-13*ORÇAMENTO!$AF$7)/$H142*OFFSET(ORÇAMENTO!$X$15,ROW(AH142)-ROW(AH$15),0),
ROUND(ROUND(OFFSET($P142,0,AH$13),15-13*ORÇAMENTO!$AF$7)*OFFSET(ORÇAMENTO!$W$15,ROW(AH142)-ROW(AH$15),0),15-13*ORÇAMENTO!$AF$11)),0)</f>
        <v>0</v>
      </c>
      <c r="AI142" s="545">
        <f ca="1">IF(AND($D142="Serviço",AI$12&lt;&gt;0,$H142&gt;0,OR(AUTOEVENTO&lt;&gt;"manual",$M142&lt;&gt;1)),
IF(Import.TipoArredondamento&lt;&gt;"TransfereGOV",
ROUND(OFFSET($P142,0,AI$13),15-13*ORÇAMENTO!$AF$7)/$H142*OFFSET(ORÇAMENTO!$X$15,ROW(AI142)-ROW(AI$15),0),
ROUND(ROUND(OFFSET($P142,0,AI$13),15-13*ORÇAMENTO!$AF$7)*OFFSET(ORÇAMENTO!$W$15,ROW(AI142)-ROW(AI$15),0),15-13*ORÇAMENTO!$AF$11)),0)</f>
        <v>0</v>
      </c>
      <c r="AJ142" s="545">
        <f ca="1">IF(AND($D142="Serviço",AJ$12&lt;&gt;0,$H142&gt;0,OR(AUTOEVENTO&lt;&gt;"manual",$M142&lt;&gt;1)),
IF(Import.TipoArredondamento&lt;&gt;"TransfereGOV",
ROUND(OFFSET($P142,0,AJ$13),15-13*ORÇAMENTO!$AF$7)/$H142*OFFSET(ORÇAMENTO!$X$15,ROW(AJ142)-ROW(AJ$15),0),
ROUND(ROUND(OFFSET($P142,0,AJ$13),15-13*ORÇAMENTO!$AF$7)*OFFSET(ORÇAMENTO!$W$15,ROW(AJ142)-ROW(AJ$15),0),15-13*ORÇAMENTO!$AF$11)),0)</f>
        <v>0</v>
      </c>
      <c r="AK142" s="546">
        <f ca="1">IF(AND($D142="Serviço",AK$12&lt;&gt;0,$H142&gt;0,OR(AUTOEVENTO&lt;&gt;"manual",$M142&lt;&gt;1)),
IF(Import.TipoArredondamento&lt;&gt;"TransfereGOV",
ROUND(OFFSET($P142,0,AK$13),15-13*ORÇAMENTO!$AF$7)/$H142*OFFSET(ORÇAMENTO!$X$15,ROW(AK142)-ROW(AK$15),0),
ROUND(ROUND(OFFSET($P142,0,AK$13),15-13*ORÇAMENTO!$AF$7)*OFFSET(ORÇAMENTO!$W$15,ROW(AK142)-ROW(AK$15),0),15-13*ORÇAMENTO!$AF$11)),0)</f>
        <v>0</v>
      </c>
      <c r="AM142" s="181">
        <f ca="1">IF($D142&lt;&gt;"Serviço",0,IF(AND(AUTOEVENTO="Manual",$M142=1),0,IF(OFFSET(CRONOPLE!$F$14,$M142,AM$13)="",10^12,OFFSET(CRONOPLE!$F$14,$M142,AM$13))))</f>
        <v>0</v>
      </c>
      <c r="AN142" s="181">
        <f ca="1">IF($D142&lt;&gt;"Serviço",0,IF(AND(AUTOEVENTO="Manual",$M142=1),0,IF(OFFSET(CRONOPLE!$F$14,$M142,AN$13)="",10^12,OFFSET(CRONOPLE!$F$14,$M142,AN$13))))</f>
        <v>0</v>
      </c>
      <c r="AO142" s="181">
        <f ca="1">IF($D142&lt;&gt;"Serviço",0,IF(AND(AUTOEVENTO="Manual",$M142=1),0,IF(OFFSET(CRONOPLE!$F$14,$M142,AO$13)="",10^12,OFFSET(CRONOPLE!$F$14,$M142,AO$13))))</f>
        <v>0</v>
      </c>
      <c r="AP142" s="181">
        <f ca="1">IF($D142&lt;&gt;"Serviço",0,IF(AND(AUTOEVENTO="Manual",$M142=1),0,IF(OFFSET(CRONOPLE!$F$14,$M142,AP$13)="",10^12,OFFSET(CRONOPLE!$F$14,$M142,AP$13))))</f>
        <v>0</v>
      </c>
      <c r="AQ142" s="181">
        <f ca="1">IF($D142&lt;&gt;"Serviço",0,IF(AND(AUTOEVENTO="Manual",$M142=1),0,IF(OFFSET(CRONOPLE!$F$14,$M142,AQ$13)="",10^12,OFFSET(CRONOPLE!$F$14,$M142,AQ$13))))</f>
        <v>0</v>
      </c>
      <c r="AR142" s="181">
        <f ca="1">IF($D142&lt;&gt;"Serviço",0,IF(AND(AUTOEVENTO="Manual",$M142=1),0,IF(OFFSET(CRONOPLE!$F$14,$M142,AR$13)="",10^12,OFFSET(CRONOPLE!$F$14,$M142,AR$13))))</f>
        <v>0</v>
      </c>
      <c r="AS142" s="181">
        <f ca="1">IF($D142&lt;&gt;"Serviço",0,IF(AND(AUTOEVENTO="Manual",$M142=1),0,IF(OFFSET(CRONOPLE!$F$14,$M142,AS$13)="",10^12,OFFSET(CRONOPLE!$F$14,$M142,AS$13))))</f>
        <v>0</v>
      </c>
      <c r="AT142" s="181">
        <f ca="1">IF($D142&lt;&gt;"Serviço",0,IF(AND(AUTOEVENTO="Manual",$M142=1),0,IF(OFFSET(CRONOPLE!$F$14,$M142,AT$13)="",10^12,OFFSET(CRONOPLE!$F$14,$M142,AT$13))))</f>
        <v>0</v>
      </c>
      <c r="AU142" s="181">
        <f ca="1">IF($D142&lt;&gt;"Serviço",0,IF(AND(AUTOEVENTO="Manual",$M142=1),0,IF(OFFSET(CRONOPLE!$F$14,$M142,AU$13)="",10^12,OFFSET(CRONOPLE!$F$14,$M142,AU$13))))</f>
        <v>0</v>
      </c>
      <c r="AV142" s="181">
        <f ca="1">IF($D142&lt;&gt;"Serviço",0,IF(AND(AUTOEVENTO="Manual",$M142=1),0,IF(OFFSET(CRONOPLE!$F$14,$M142,AV$13)="",10^12,OFFSET(CRONOPLE!$F$14,$M142,AV$13))))</f>
        <v>0</v>
      </c>
      <c r="AX142" s="182">
        <f ca="1">IF($D142&lt;&gt;"Serviço",0,IF(OR(AND(AUTOEVENTO="Manual",$M142=1),$M142&gt;(ROW(PLE.lastrow)-ROW(PLE.firstrow))),0,IF(OFFSET(PLE!$G$14,$M142,AX$13)="",10^12,OFFSET(PLE!$G$14,$M142,AX$13))))</f>
        <v>0</v>
      </c>
      <c r="AY142" s="182">
        <f ca="1">IF($D142&lt;&gt;"Serviço",0,IF(OR(AND(AUTOEVENTO="Manual",$M142=1),$M142&gt;(ROW(PLE.lastrow)-ROW(PLE.firstrow))),0,IF(OFFSET(PLE!$G$14,$M142,AY$13)="",10^12,OFFSET(PLE!$G$14,$M142,AY$13))))</f>
        <v>0</v>
      </c>
      <c r="AZ142" s="182">
        <f ca="1">IF($D142&lt;&gt;"Serviço",0,IF(OR(AND(AUTOEVENTO="Manual",$M142=1),$M142&gt;(ROW(PLE.lastrow)-ROW(PLE.firstrow))),0,IF(OFFSET(PLE!$G$14,$M142,AZ$13)="",10^12,OFFSET(PLE!$G$14,$M142,AZ$13))))</f>
        <v>0</v>
      </c>
      <c r="BA142" s="182">
        <f ca="1">IF($D142&lt;&gt;"Serviço",0,IF(OR(AND(AUTOEVENTO="Manual",$M142=1),$M142&gt;(ROW(PLE.lastrow)-ROW(PLE.firstrow))),0,IF(OFFSET(PLE!$G$14,$M142,BA$13)="",10^12,OFFSET(PLE!$G$14,$M142,BA$13))))</f>
        <v>0</v>
      </c>
      <c r="BB142" s="182">
        <f ca="1">IF($D142&lt;&gt;"Serviço",0,IF(OR(AND(AUTOEVENTO="Manual",$M142=1),$M142&gt;(ROW(PLE.lastrow)-ROW(PLE.firstrow))),0,IF(OFFSET(PLE!$G$14,$M142,BB$13)="",10^12,OFFSET(PLE!$G$14,$M142,BB$13))))</f>
        <v>0</v>
      </c>
      <c r="BC142" s="182">
        <f ca="1">IF($D142&lt;&gt;"Serviço",0,IF(OR(AND(AUTOEVENTO="Manual",$M142=1),$M142&gt;(ROW(PLE.lastrow)-ROW(PLE.firstrow))),0,IF(OFFSET(PLE!$G$14,$M142,BC$13)="",10^12,OFFSET(PLE!$G$14,$M142,BC$13))))</f>
        <v>0</v>
      </c>
      <c r="BD142" s="182">
        <f ca="1">IF($D142&lt;&gt;"Serviço",0,IF(OR(AND(AUTOEVENTO="Manual",$M142=1),$M142&gt;(ROW(PLE.lastrow)-ROW(PLE.firstrow))),0,IF(OFFSET(PLE!$G$14,$M142,BD$13)="",10^12,OFFSET(PLE!$G$14,$M142,BD$13))))</f>
        <v>0</v>
      </c>
      <c r="BE142" s="182">
        <f ca="1">IF($D142&lt;&gt;"Serviço",0,IF(OR(AND(AUTOEVENTO="Manual",$M142=1),$M142&gt;(ROW(PLE.lastrow)-ROW(PLE.firstrow))),0,IF(OFFSET(PLE!$G$14,$M142,BE$13)="",10^12,OFFSET(PLE!$G$14,$M142,BE$13))))</f>
        <v>0</v>
      </c>
      <c r="BF142" s="182">
        <f ca="1">IF($D142&lt;&gt;"Serviço",0,IF(OR(AND(AUTOEVENTO="Manual",$M142=1),$M142&gt;(ROW(PLE.lastrow)-ROW(PLE.firstrow))),0,IF(OFFSET(PLE!$G$14,$M142,BF$13)="",10^12,OFFSET(PLE!$G$14,$M142,BF$13))))</f>
        <v>0</v>
      </c>
      <c r="BG142" s="182">
        <f ca="1">IF($D142&lt;&gt;"Serviço",0,IF(OR(AND(AUTOEVENTO="Manual",$M142=1),$M142&gt;(ROW(PLE.lastrow)-ROW(PLE.firstrow))),0,IF(OFFSET(PLE!$G$14,$M142,BG$13)="",10^12,OFFSET(PLE!$G$14,$M142,BG$13))))</f>
        <v>0</v>
      </c>
    </row>
    <row r="143" spans="1:59" ht="63.75" x14ac:dyDescent="0.2">
      <c r="A143" s="7" t="str">
        <f t="shared" ca="1" si="14"/>
        <v>127</v>
      </c>
      <c r="B143" s="7" t="str">
        <f ca="1">OFFSET(ORÇAMENTO!C$15,ROW(B143)-ROW(B$15),0)</f>
        <v>S</v>
      </c>
      <c r="C143" s="7" t="str">
        <f ca="1">OFFSET(ORÇAMENTO!L$15,ROW(C143)-ROW(C$15),0)</f>
        <v>F</v>
      </c>
      <c r="D143" s="118" t="str">
        <f ca="1">OFFSET(ORÇAMENTO!N$15,ROW(D143)-ROW(D$15),0)</f>
        <v>Serviço</v>
      </c>
      <c r="E143" s="119" t="str">
        <f ca="1">OFFSET(ORÇAMENTO!O$15,ROW(E143)-ROW(E$15),0)</f>
        <v>8.3.1.</v>
      </c>
      <c r="F143" s="172" t="str">
        <f ca="1">OFFSET(ORÇAMENTO!R$15,ROW(F143)-ROW(F$15),0)</f>
        <v>BANCADA GRANITO CINZA 150 X 60 CM, COM CUBA DE EMBUTIR DE AÇO, VÁLVULA AMERICANA EM METAL, SIFÃO FLEXÍVEL EM PVC, ENGATE FLEXÍVEL 30 CM, TORNEIRA CROMADA LONGA, DE PAREDE, 1/2" OU 3/4", P/ COZINHA, PADRÃO POPULAR - FORNEC. E INSTALAÇÃO. AF_02/2026</v>
      </c>
      <c r="G143" s="173" t="str">
        <f ca="1">IF($D143&lt;&gt;"Serviço","",OFFSET(ORÇAMENTO!S$15,ROW(G143)-ROW(G$15),0))</f>
        <v>UN</v>
      </c>
      <c r="H143" s="124">
        <f ca="1">IF($D143&lt;&gt;"Serviço",0,IF(ACOMPANHAMENTO="BM",ROUND(OFFSET(ORÇAMENTO!AJ$15,ROW(H143)-ROW(H$15),0),15-13*ORÇAMENTO!$AF$7),SUMPRODUCT(($Q$12:$AA$12&lt;&gt;"")*ROUND($Q143:$AA143,15-13*ORÇAMENTO!$AF$7))))</f>
        <v>3</v>
      </c>
      <c r="I143" s="561"/>
      <c r="K143" s="174"/>
      <c r="L143" s="175" t="s">
        <v>255</v>
      </c>
      <c r="M143" s="176">
        <f ca="1">IF($D143&lt;&gt;"Serviço","",IF(AUTOEVENTO="manual",$A143,IF(ISERROR(MATCH($A143,$A$15:OFFSET($A143,-1,0),0)),MAX($M$15:OFFSET(M143,-1,0))+1,INDEX($M$15:OFFSET(M143,-1,0),MATCH($A143,$A$15:OFFSET($A143,-1,0),0)))))</f>
        <v>20</v>
      </c>
      <c r="N143" s="177" t="str">
        <f ca="1">IF($D143&lt;&gt;"Serviço","",IF(AUTOEVENTO="Manual",IF($A143=0,"&lt;-- defina o número do agrupador",OFFSET(EVENTOS!$D$14,$A143,0)),OFFSET($F$15,$A143,0)))</f>
        <v xml:space="preserve">MARMORARIA </v>
      </c>
      <c r="O143" s="178"/>
      <c r="Q143" s="178"/>
      <c r="R143" s="179"/>
      <c r="S143" s="179"/>
      <c r="T143" s="179"/>
      <c r="U143" s="179"/>
      <c r="V143" s="179"/>
      <c r="W143" s="179"/>
      <c r="X143" s="179"/>
      <c r="Y143" s="179"/>
      <c r="Z143" s="180"/>
      <c r="AB143" s="544">
        <f ca="1">IF(AND($D143="Serviço",AB$12&lt;&gt;0,$H143&gt;0,OR(AUTOEVENTO&lt;&gt;"manual",$M143&lt;&gt;1)),
IF(Import.TipoArredondamento&lt;&gt;"TransfereGOV",
ROUND(OFFSET($P143,0,AB$13),15-13*ORÇAMENTO!$AF$7)/$H143*OFFSET(ORÇAMENTO!$X$15,ROW(AB143)-ROW(AB$15),0),
ROUND(ROUND(OFFSET($P143,0,AB$13),15-13*ORÇAMENTO!$AF$7)*OFFSET(ORÇAMENTO!$W$15,ROW(AB143)-ROW(AB$15),0),15-13*ORÇAMENTO!$AF$11)),0)</f>
        <v>0</v>
      </c>
      <c r="AC143" s="545">
        <f ca="1">IF(AND($D143="Serviço",AC$12&lt;&gt;0,$H143&gt;0,OR(AUTOEVENTO&lt;&gt;"manual",$M143&lt;&gt;1)),
IF(Import.TipoArredondamento&lt;&gt;"TransfereGOV",
ROUND(OFFSET($P143,0,AC$13),15-13*ORÇAMENTO!$AF$7)/$H143*OFFSET(ORÇAMENTO!$X$15,ROW(AC143)-ROW(AC$15),0),
ROUND(ROUND(OFFSET($P143,0,AC$13),15-13*ORÇAMENTO!$AF$7)*OFFSET(ORÇAMENTO!$W$15,ROW(AC143)-ROW(AC$15),0),15-13*ORÇAMENTO!$AF$11)),0)</f>
        <v>0</v>
      </c>
      <c r="AD143" s="545">
        <f ca="1">IF(AND($D143="Serviço",AD$12&lt;&gt;0,$H143&gt;0,OR(AUTOEVENTO&lt;&gt;"manual",$M143&lt;&gt;1)),
IF(Import.TipoArredondamento&lt;&gt;"TransfereGOV",
ROUND(OFFSET($P143,0,AD$13),15-13*ORÇAMENTO!$AF$7)/$H143*OFFSET(ORÇAMENTO!$X$15,ROW(AD143)-ROW(AD$15),0),
ROUND(ROUND(OFFSET($P143,0,AD$13),15-13*ORÇAMENTO!$AF$7)*OFFSET(ORÇAMENTO!$W$15,ROW(AD143)-ROW(AD$15),0),15-13*ORÇAMENTO!$AF$11)),0)</f>
        <v>0</v>
      </c>
      <c r="AE143" s="545">
        <f ca="1">IF(AND($D143="Serviço",AE$12&lt;&gt;0,$H143&gt;0,OR(AUTOEVENTO&lt;&gt;"manual",$M143&lt;&gt;1)),
IF(Import.TipoArredondamento&lt;&gt;"TransfereGOV",
ROUND(OFFSET($P143,0,AE$13),15-13*ORÇAMENTO!$AF$7)/$H143*OFFSET(ORÇAMENTO!$X$15,ROW(AE143)-ROW(AE$15),0),
ROUND(ROUND(OFFSET($P143,0,AE$13),15-13*ORÇAMENTO!$AF$7)*OFFSET(ORÇAMENTO!$W$15,ROW(AE143)-ROW(AE$15),0),15-13*ORÇAMENTO!$AF$11)),0)</f>
        <v>0</v>
      </c>
      <c r="AF143" s="545">
        <f ca="1">IF(AND($D143="Serviço",AF$12&lt;&gt;0,$H143&gt;0,OR(AUTOEVENTO&lt;&gt;"manual",$M143&lt;&gt;1)),
IF(Import.TipoArredondamento&lt;&gt;"TransfereGOV",
ROUND(OFFSET($P143,0,AF$13),15-13*ORÇAMENTO!$AF$7)/$H143*OFFSET(ORÇAMENTO!$X$15,ROW(AF143)-ROW(AF$15),0),
ROUND(ROUND(OFFSET($P143,0,AF$13),15-13*ORÇAMENTO!$AF$7)*OFFSET(ORÇAMENTO!$W$15,ROW(AF143)-ROW(AF$15),0),15-13*ORÇAMENTO!$AF$11)),0)</f>
        <v>0</v>
      </c>
      <c r="AG143" s="545">
        <f ca="1">IF(AND($D143="Serviço",AG$12&lt;&gt;0,$H143&gt;0,OR(AUTOEVENTO&lt;&gt;"manual",$M143&lt;&gt;1)),
IF(Import.TipoArredondamento&lt;&gt;"TransfereGOV",
ROUND(OFFSET($P143,0,AG$13),15-13*ORÇAMENTO!$AF$7)/$H143*OFFSET(ORÇAMENTO!$X$15,ROW(AG143)-ROW(AG$15),0),
ROUND(ROUND(OFFSET($P143,0,AG$13),15-13*ORÇAMENTO!$AF$7)*OFFSET(ORÇAMENTO!$W$15,ROW(AG143)-ROW(AG$15),0),15-13*ORÇAMENTO!$AF$11)),0)</f>
        <v>0</v>
      </c>
      <c r="AH143" s="545">
        <f ca="1">IF(AND($D143="Serviço",AH$12&lt;&gt;0,$H143&gt;0,OR(AUTOEVENTO&lt;&gt;"manual",$M143&lt;&gt;1)),
IF(Import.TipoArredondamento&lt;&gt;"TransfereGOV",
ROUND(OFFSET($P143,0,AH$13),15-13*ORÇAMENTO!$AF$7)/$H143*OFFSET(ORÇAMENTO!$X$15,ROW(AH143)-ROW(AH$15),0),
ROUND(ROUND(OFFSET($P143,0,AH$13),15-13*ORÇAMENTO!$AF$7)*OFFSET(ORÇAMENTO!$W$15,ROW(AH143)-ROW(AH$15),0),15-13*ORÇAMENTO!$AF$11)),0)</f>
        <v>0</v>
      </c>
      <c r="AI143" s="545">
        <f ca="1">IF(AND($D143="Serviço",AI$12&lt;&gt;0,$H143&gt;0,OR(AUTOEVENTO&lt;&gt;"manual",$M143&lt;&gt;1)),
IF(Import.TipoArredondamento&lt;&gt;"TransfereGOV",
ROUND(OFFSET($P143,0,AI$13),15-13*ORÇAMENTO!$AF$7)/$H143*OFFSET(ORÇAMENTO!$X$15,ROW(AI143)-ROW(AI$15),0),
ROUND(ROUND(OFFSET($P143,0,AI$13),15-13*ORÇAMENTO!$AF$7)*OFFSET(ORÇAMENTO!$W$15,ROW(AI143)-ROW(AI$15),0),15-13*ORÇAMENTO!$AF$11)),0)</f>
        <v>0</v>
      </c>
      <c r="AJ143" s="545">
        <f ca="1">IF(AND($D143="Serviço",AJ$12&lt;&gt;0,$H143&gt;0,OR(AUTOEVENTO&lt;&gt;"manual",$M143&lt;&gt;1)),
IF(Import.TipoArredondamento&lt;&gt;"TransfereGOV",
ROUND(OFFSET($P143,0,AJ$13),15-13*ORÇAMENTO!$AF$7)/$H143*OFFSET(ORÇAMENTO!$X$15,ROW(AJ143)-ROW(AJ$15),0),
ROUND(ROUND(OFFSET($P143,0,AJ$13),15-13*ORÇAMENTO!$AF$7)*OFFSET(ORÇAMENTO!$W$15,ROW(AJ143)-ROW(AJ$15),0),15-13*ORÇAMENTO!$AF$11)),0)</f>
        <v>0</v>
      </c>
      <c r="AK143" s="546">
        <f ca="1">IF(AND($D143="Serviço",AK$12&lt;&gt;0,$H143&gt;0,OR(AUTOEVENTO&lt;&gt;"manual",$M143&lt;&gt;1)),
IF(Import.TipoArredondamento&lt;&gt;"TransfereGOV",
ROUND(OFFSET($P143,0,AK$13),15-13*ORÇAMENTO!$AF$7)/$H143*OFFSET(ORÇAMENTO!$X$15,ROW(AK143)-ROW(AK$15),0),
ROUND(ROUND(OFFSET($P143,0,AK$13),15-13*ORÇAMENTO!$AF$7)*OFFSET(ORÇAMENTO!$W$15,ROW(AK143)-ROW(AK$15),0),15-13*ORÇAMENTO!$AF$11)),0)</f>
        <v>0</v>
      </c>
      <c r="AM143" s="181">
        <f ca="1">IF($D143&lt;&gt;"Serviço",0,IF(AND(AUTOEVENTO="Manual",$M143=1),0,IF(OFFSET(CRONOPLE!$F$14,$M143,AM$13)="",10^12,OFFSET(CRONOPLE!$F$14,$M143,AM$13))))</f>
        <v>1000000000000</v>
      </c>
      <c r="AN143" s="181">
        <f ca="1">IF($D143&lt;&gt;"Serviço",0,IF(AND(AUTOEVENTO="Manual",$M143=1),0,IF(OFFSET(CRONOPLE!$F$14,$M143,AN$13)="",10^12,OFFSET(CRONOPLE!$F$14,$M143,AN$13))))</f>
        <v>1000000000000</v>
      </c>
      <c r="AO143" s="181">
        <f ca="1">IF($D143&lt;&gt;"Serviço",0,IF(AND(AUTOEVENTO="Manual",$M143=1),0,IF(OFFSET(CRONOPLE!$F$14,$M143,AO$13)="",10^12,OFFSET(CRONOPLE!$F$14,$M143,AO$13))))</f>
        <v>1000000000000</v>
      </c>
      <c r="AP143" s="181">
        <f ca="1">IF($D143&lt;&gt;"Serviço",0,IF(AND(AUTOEVENTO="Manual",$M143=1),0,IF(OFFSET(CRONOPLE!$F$14,$M143,AP$13)="",10^12,OFFSET(CRONOPLE!$F$14,$M143,AP$13))))</f>
        <v>1000000000000</v>
      </c>
      <c r="AQ143" s="181">
        <f ca="1">IF($D143&lt;&gt;"Serviço",0,IF(AND(AUTOEVENTO="Manual",$M143=1),0,IF(OFFSET(CRONOPLE!$F$14,$M143,AQ$13)="",10^12,OFFSET(CRONOPLE!$F$14,$M143,AQ$13))))</f>
        <v>1000000000000</v>
      </c>
      <c r="AR143" s="181">
        <f ca="1">IF($D143&lt;&gt;"Serviço",0,IF(AND(AUTOEVENTO="Manual",$M143=1),0,IF(OFFSET(CRONOPLE!$F$14,$M143,AR$13)="",10^12,OFFSET(CRONOPLE!$F$14,$M143,AR$13))))</f>
        <v>1000000000000</v>
      </c>
      <c r="AS143" s="181">
        <f ca="1">IF($D143&lt;&gt;"Serviço",0,IF(AND(AUTOEVENTO="Manual",$M143=1),0,IF(OFFSET(CRONOPLE!$F$14,$M143,AS$13)="",10^12,OFFSET(CRONOPLE!$F$14,$M143,AS$13))))</f>
        <v>1000000000000</v>
      </c>
      <c r="AT143" s="181">
        <f ca="1">IF($D143&lt;&gt;"Serviço",0,IF(AND(AUTOEVENTO="Manual",$M143=1),0,IF(OFFSET(CRONOPLE!$F$14,$M143,AT$13)="",10^12,OFFSET(CRONOPLE!$F$14,$M143,AT$13))))</f>
        <v>1000000000000</v>
      </c>
      <c r="AU143" s="181">
        <f ca="1">IF($D143&lt;&gt;"Serviço",0,IF(AND(AUTOEVENTO="Manual",$M143=1),0,IF(OFFSET(CRONOPLE!$F$14,$M143,AU$13)="",10^12,OFFSET(CRONOPLE!$F$14,$M143,AU$13))))</f>
        <v>1000000000000</v>
      </c>
      <c r="AV143" s="181">
        <f ca="1">IF($D143&lt;&gt;"Serviço",0,IF(AND(AUTOEVENTO="Manual",$M143=1),0,IF(OFFSET(CRONOPLE!$F$14,$M143,AV$13)="",10^12,OFFSET(CRONOPLE!$F$14,$M143,AV$13))))</f>
        <v>1000000000000</v>
      </c>
      <c r="AX143" s="182">
        <f ca="1">IF($D143&lt;&gt;"Serviço",0,IF(OR(AND(AUTOEVENTO="Manual",$M143=1),$M143&gt;(ROW(PLE.lastrow)-ROW(PLE.firstrow))),0,IF(OFFSET(PLE!$G$14,$M143,AX$13)="",10^12,OFFSET(PLE!$G$14,$M143,AX$13))))</f>
        <v>1000000000000</v>
      </c>
      <c r="AY143" s="182">
        <f ca="1">IF($D143&lt;&gt;"Serviço",0,IF(OR(AND(AUTOEVENTO="Manual",$M143=1),$M143&gt;(ROW(PLE.lastrow)-ROW(PLE.firstrow))),0,IF(OFFSET(PLE!$G$14,$M143,AY$13)="",10^12,OFFSET(PLE!$G$14,$M143,AY$13))))</f>
        <v>1000000000000</v>
      </c>
      <c r="AZ143" s="182">
        <f ca="1">IF($D143&lt;&gt;"Serviço",0,IF(OR(AND(AUTOEVENTO="Manual",$M143=1),$M143&gt;(ROW(PLE.lastrow)-ROW(PLE.firstrow))),0,IF(OFFSET(PLE!$G$14,$M143,AZ$13)="",10^12,OFFSET(PLE!$G$14,$M143,AZ$13))))</f>
        <v>1000000000000</v>
      </c>
      <c r="BA143" s="182">
        <f ca="1">IF($D143&lt;&gt;"Serviço",0,IF(OR(AND(AUTOEVENTO="Manual",$M143=1),$M143&gt;(ROW(PLE.lastrow)-ROW(PLE.firstrow))),0,IF(OFFSET(PLE!$G$14,$M143,BA$13)="",10^12,OFFSET(PLE!$G$14,$M143,BA$13))))</f>
        <v>1000000000000</v>
      </c>
      <c r="BB143" s="182">
        <f ca="1">IF($D143&lt;&gt;"Serviço",0,IF(OR(AND(AUTOEVENTO="Manual",$M143=1),$M143&gt;(ROW(PLE.lastrow)-ROW(PLE.firstrow))),0,IF(OFFSET(PLE!$G$14,$M143,BB$13)="",10^12,OFFSET(PLE!$G$14,$M143,BB$13))))</f>
        <v>1000000000000</v>
      </c>
      <c r="BC143" s="182">
        <f ca="1">IF($D143&lt;&gt;"Serviço",0,IF(OR(AND(AUTOEVENTO="Manual",$M143=1),$M143&gt;(ROW(PLE.lastrow)-ROW(PLE.firstrow))),0,IF(OFFSET(PLE!$G$14,$M143,BC$13)="",10^12,OFFSET(PLE!$G$14,$M143,BC$13))))</f>
        <v>1000000000000</v>
      </c>
      <c r="BD143" s="182">
        <f ca="1">IF($D143&lt;&gt;"Serviço",0,IF(OR(AND(AUTOEVENTO="Manual",$M143=1),$M143&gt;(ROW(PLE.lastrow)-ROW(PLE.firstrow))),0,IF(OFFSET(PLE!$G$14,$M143,BD$13)="",10^12,OFFSET(PLE!$G$14,$M143,BD$13))))</f>
        <v>1000000000000</v>
      </c>
      <c r="BE143" s="182">
        <f ca="1">IF($D143&lt;&gt;"Serviço",0,IF(OR(AND(AUTOEVENTO="Manual",$M143=1),$M143&gt;(ROW(PLE.lastrow)-ROW(PLE.firstrow))),0,IF(OFFSET(PLE!$G$14,$M143,BE$13)="",10^12,OFFSET(PLE!$G$14,$M143,BE$13))))</f>
        <v>1000000000000</v>
      </c>
      <c r="BF143" s="182">
        <f ca="1">IF($D143&lt;&gt;"Serviço",0,IF(OR(AND(AUTOEVENTO="Manual",$M143=1),$M143&gt;(ROW(PLE.lastrow)-ROW(PLE.firstrow))),0,IF(OFFSET(PLE!$G$14,$M143,BF$13)="",10^12,OFFSET(PLE!$G$14,$M143,BF$13))))</f>
        <v>1000000000000</v>
      </c>
      <c r="BG143" s="182">
        <f ca="1">IF($D143&lt;&gt;"Serviço",0,IF(OR(AND(AUTOEVENTO="Manual",$M143=1),$M143&gt;(ROW(PLE.lastrow)-ROW(PLE.firstrow))),0,IF(OFFSET(PLE!$G$14,$M143,BG$13)="",10^12,OFFSET(PLE!$G$14,$M143,BG$13))))</f>
        <v>1000000000000</v>
      </c>
    </row>
    <row r="144" spans="1:59" ht="25.5" x14ac:dyDescent="0.2">
      <c r="A144" s="7" t="str">
        <f ca="1">IF(AUTOEVENTO="Manual",IF(K144&lt;&gt;"",MIN(VALUE(LEFT(K144,FIND(".",K144)-1)),COUNTA(EVENTOS.Lista)),0),IF(OR($B144&gt;AUTOEVENTO,$B144="S",$B144=0),SUBSTITUTE(OFFSET($A144,-1,0),IF($D144="Serviço",".",""),""),ROW(A144)-ROW($A$15)&amp;"."))</f>
        <v>127</v>
      </c>
      <c r="B144" s="7" t="str">
        <f ca="1">OFFSET(ORÇAMENTO!C$15,ROW(B144)-ROW(B$15),0)</f>
        <v>S</v>
      </c>
      <c r="C144" s="7" t="str">
        <f ca="1">OFFSET(ORÇAMENTO!L$15,ROW(C144)-ROW(C$15),0)</f>
        <v>F</v>
      </c>
      <c r="D144" s="118" t="str">
        <f ca="1">OFFSET(ORÇAMENTO!N$15,ROW(D144)-ROW(D$15),0)</f>
        <v>Serviço</v>
      </c>
      <c r="E144" s="119" t="str">
        <f ca="1">OFFSET(ORÇAMENTO!O$15,ROW(E144)-ROW(E$15),0)</f>
        <v>8.3.2.</v>
      </c>
      <c r="F144" s="172" t="str">
        <f ca="1">OFFSET(ORÇAMENTO!R$15,ROW(F144)-ROW(F$15),0)</f>
        <v>SOLEIRA/ PEITORIL EM MARMORE, POLIDO, BRANCO COMUM, L= *15* CM, E= *2* CM, CORTE RETO</v>
      </c>
      <c r="G144" s="173" t="str">
        <f ca="1">IF($D144&lt;&gt;"Serviço","",OFFSET(ORÇAMENTO!S$15,ROW(G144)-ROW(G$15),0))</f>
        <v>M</v>
      </c>
      <c r="H144" s="124">
        <f ca="1">IF($D144&lt;&gt;"Serviço",0,IF(ACOMPANHAMENTO="BM",ROUND(OFFSET(ORÇAMENTO!AJ$15,ROW(H144)-ROW(H$15),0),15-13*ORÇAMENTO!$AF$7),SUMPRODUCT(($Q$12:$AA$12&lt;&gt;"")*ROUND($Q144:$AA144,15-13*ORÇAMENTO!$AF$7))))</f>
        <v>11.4</v>
      </c>
      <c r="I144" s="561"/>
      <c r="K144" s="174"/>
      <c r="L144" s="175" t="s">
        <v>255</v>
      </c>
      <c r="M144" s="176">
        <f ca="1">IF($D144&lt;&gt;"Serviço","",IF(AUTOEVENTO="manual",$A144,IF(ISERROR(MATCH($A144,$A$15:OFFSET($A144,-1,0),0)),MAX($M$15:OFFSET(M144,-1,0))+1,INDEX($M$15:OFFSET(M144,-1,0),MATCH($A144,$A$15:OFFSET($A144,-1,0),0)))))</f>
        <v>20</v>
      </c>
      <c r="N144" s="177" t="str">
        <f ca="1">IF($D144&lt;&gt;"Serviço","",IF(AUTOEVENTO="Manual",IF($A144=0,"&lt;-- defina o número do agrupador",OFFSET(EVENTOS!$D$14,$A144,0)),OFFSET($F$15,$A144,0)))</f>
        <v xml:space="preserve">MARMORARIA </v>
      </c>
      <c r="O144" s="178"/>
      <c r="Q144" s="178"/>
      <c r="R144" s="179"/>
      <c r="S144" s="179"/>
      <c r="T144" s="179"/>
      <c r="U144" s="179"/>
      <c r="V144" s="179"/>
      <c r="W144" s="179"/>
      <c r="X144" s="179"/>
      <c r="Y144" s="179"/>
      <c r="Z144" s="180"/>
      <c r="AB144" s="544">
        <f ca="1">IF(AND($D144="Serviço",AB$12&lt;&gt;0,$H144&gt;0,OR(AUTOEVENTO&lt;&gt;"manual",$M144&lt;&gt;1)),
IF(Import.TipoArredondamento&lt;&gt;"TransfereGOV",
ROUND(OFFSET($P144,0,AB$13),15-13*ORÇAMENTO!$AF$7)/$H144*OFFSET(ORÇAMENTO!$X$15,ROW(AB144)-ROW(AB$15),0),
ROUND(ROUND(OFFSET($P144,0,AB$13),15-13*ORÇAMENTO!$AF$7)*OFFSET(ORÇAMENTO!$W$15,ROW(AB144)-ROW(AB$15),0),15-13*ORÇAMENTO!$AF$11)),0)</f>
        <v>0</v>
      </c>
      <c r="AC144" s="545">
        <f ca="1">IF(AND($D144="Serviço",AC$12&lt;&gt;0,$H144&gt;0,OR(AUTOEVENTO&lt;&gt;"manual",$M144&lt;&gt;1)),
IF(Import.TipoArredondamento&lt;&gt;"TransfereGOV",
ROUND(OFFSET($P144,0,AC$13),15-13*ORÇAMENTO!$AF$7)/$H144*OFFSET(ORÇAMENTO!$X$15,ROW(AC144)-ROW(AC$15),0),
ROUND(ROUND(OFFSET($P144,0,AC$13),15-13*ORÇAMENTO!$AF$7)*OFFSET(ORÇAMENTO!$W$15,ROW(AC144)-ROW(AC$15),0),15-13*ORÇAMENTO!$AF$11)),0)</f>
        <v>0</v>
      </c>
      <c r="AD144" s="545">
        <f ca="1">IF(AND($D144="Serviço",AD$12&lt;&gt;0,$H144&gt;0,OR(AUTOEVENTO&lt;&gt;"manual",$M144&lt;&gt;1)),
IF(Import.TipoArredondamento&lt;&gt;"TransfereGOV",
ROUND(OFFSET($P144,0,AD$13),15-13*ORÇAMENTO!$AF$7)/$H144*OFFSET(ORÇAMENTO!$X$15,ROW(AD144)-ROW(AD$15),0),
ROUND(ROUND(OFFSET($P144,0,AD$13),15-13*ORÇAMENTO!$AF$7)*OFFSET(ORÇAMENTO!$W$15,ROW(AD144)-ROW(AD$15),0),15-13*ORÇAMENTO!$AF$11)),0)</f>
        <v>0</v>
      </c>
      <c r="AE144" s="545">
        <f ca="1">IF(AND($D144="Serviço",AE$12&lt;&gt;0,$H144&gt;0,OR(AUTOEVENTO&lt;&gt;"manual",$M144&lt;&gt;1)),
IF(Import.TipoArredondamento&lt;&gt;"TransfereGOV",
ROUND(OFFSET($P144,0,AE$13),15-13*ORÇAMENTO!$AF$7)/$H144*OFFSET(ORÇAMENTO!$X$15,ROW(AE144)-ROW(AE$15),0),
ROUND(ROUND(OFFSET($P144,0,AE$13),15-13*ORÇAMENTO!$AF$7)*OFFSET(ORÇAMENTO!$W$15,ROW(AE144)-ROW(AE$15),0),15-13*ORÇAMENTO!$AF$11)),0)</f>
        <v>0</v>
      </c>
      <c r="AF144" s="545">
        <f ca="1">IF(AND($D144="Serviço",AF$12&lt;&gt;0,$H144&gt;0,OR(AUTOEVENTO&lt;&gt;"manual",$M144&lt;&gt;1)),
IF(Import.TipoArredondamento&lt;&gt;"TransfereGOV",
ROUND(OFFSET($P144,0,AF$13),15-13*ORÇAMENTO!$AF$7)/$H144*OFFSET(ORÇAMENTO!$X$15,ROW(AF144)-ROW(AF$15),0),
ROUND(ROUND(OFFSET($P144,0,AF$13),15-13*ORÇAMENTO!$AF$7)*OFFSET(ORÇAMENTO!$W$15,ROW(AF144)-ROW(AF$15),0),15-13*ORÇAMENTO!$AF$11)),0)</f>
        <v>0</v>
      </c>
      <c r="AG144" s="545">
        <f ca="1">IF(AND($D144="Serviço",AG$12&lt;&gt;0,$H144&gt;0,OR(AUTOEVENTO&lt;&gt;"manual",$M144&lt;&gt;1)),
IF(Import.TipoArredondamento&lt;&gt;"TransfereGOV",
ROUND(OFFSET($P144,0,AG$13),15-13*ORÇAMENTO!$AF$7)/$H144*OFFSET(ORÇAMENTO!$X$15,ROW(AG144)-ROW(AG$15),0),
ROUND(ROUND(OFFSET($P144,0,AG$13),15-13*ORÇAMENTO!$AF$7)*OFFSET(ORÇAMENTO!$W$15,ROW(AG144)-ROW(AG$15),0),15-13*ORÇAMENTO!$AF$11)),0)</f>
        <v>0</v>
      </c>
      <c r="AH144" s="545">
        <f ca="1">IF(AND($D144="Serviço",AH$12&lt;&gt;0,$H144&gt;0,OR(AUTOEVENTO&lt;&gt;"manual",$M144&lt;&gt;1)),
IF(Import.TipoArredondamento&lt;&gt;"TransfereGOV",
ROUND(OFFSET($P144,0,AH$13),15-13*ORÇAMENTO!$AF$7)/$H144*OFFSET(ORÇAMENTO!$X$15,ROW(AH144)-ROW(AH$15),0),
ROUND(ROUND(OFFSET($P144,0,AH$13),15-13*ORÇAMENTO!$AF$7)*OFFSET(ORÇAMENTO!$W$15,ROW(AH144)-ROW(AH$15),0),15-13*ORÇAMENTO!$AF$11)),0)</f>
        <v>0</v>
      </c>
      <c r="AI144" s="545">
        <f ca="1">IF(AND($D144="Serviço",AI$12&lt;&gt;0,$H144&gt;0,OR(AUTOEVENTO&lt;&gt;"manual",$M144&lt;&gt;1)),
IF(Import.TipoArredondamento&lt;&gt;"TransfereGOV",
ROUND(OFFSET($P144,0,AI$13),15-13*ORÇAMENTO!$AF$7)/$H144*OFFSET(ORÇAMENTO!$X$15,ROW(AI144)-ROW(AI$15),0),
ROUND(ROUND(OFFSET($P144,0,AI$13),15-13*ORÇAMENTO!$AF$7)*OFFSET(ORÇAMENTO!$W$15,ROW(AI144)-ROW(AI$15),0),15-13*ORÇAMENTO!$AF$11)),0)</f>
        <v>0</v>
      </c>
      <c r="AJ144" s="545">
        <f ca="1">IF(AND($D144="Serviço",AJ$12&lt;&gt;0,$H144&gt;0,OR(AUTOEVENTO&lt;&gt;"manual",$M144&lt;&gt;1)),
IF(Import.TipoArredondamento&lt;&gt;"TransfereGOV",
ROUND(OFFSET($P144,0,AJ$13),15-13*ORÇAMENTO!$AF$7)/$H144*OFFSET(ORÇAMENTO!$X$15,ROW(AJ144)-ROW(AJ$15),0),
ROUND(ROUND(OFFSET($P144,0,AJ$13),15-13*ORÇAMENTO!$AF$7)*OFFSET(ORÇAMENTO!$W$15,ROW(AJ144)-ROW(AJ$15),0),15-13*ORÇAMENTO!$AF$11)),0)</f>
        <v>0</v>
      </c>
      <c r="AK144" s="546">
        <f ca="1">IF(AND($D144="Serviço",AK$12&lt;&gt;0,$H144&gt;0,OR(AUTOEVENTO&lt;&gt;"manual",$M144&lt;&gt;1)),
IF(Import.TipoArredondamento&lt;&gt;"TransfereGOV",
ROUND(OFFSET($P144,0,AK$13),15-13*ORÇAMENTO!$AF$7)/$H144*OFFSET(ORÇAMENTO!$X$15,ROW(AK144)-ROW(AK$15),0),
ROUND(ROUND(OFFSET($P144,0,AK$13),15-13*ORÇAMENTO!$AF$7)*OFFSET(ORÇAMENTO!$W$15,ROW(AK144)-ROW(AK$15),0),15-13*ORÇAMENTO!$AF$11)),0)</f>
        <v>0</v>
      </c>
      <c r="AM144" s="181">
        <f ca="1">IF($D144&lt;&gt;"Serviço",0,IF(AND(AUTOEVENTO="Manual",$M144=1),0,IF(OFFSET(CRONOPLE!$F$14,$M144,AM$13)="",10^12,OFFSET(CRONOPLE!$F$14,$M144,AM$13))))</f>
        <v>1000000000000</v>
      </c>
      <c r="AN144" s="181">
        <f ca="1">IF($D144&lt;&gt;"Serviço",0,IF(AND(AUTOEVENTO="Manual",$M144=1),0,IF(OFFSET(CRONOPLE!$F$14,$M144,AN$13)="",10^12,OFFSET(CRONOPLE!$F$14,$M144,AN$13))))</f>
        <v>1000000000000</v>
      </c>
      <c r="AO144" s="181">
        <f ca="1">IF($D144&lt;&gt;"Serviço",0,IF(AND(AUTOEVENTO="Manual",$M144=1),0,IF(OFFSET(CRONOPLE!$F$14,$M144,AO$13)="",10^12,OFFSET(CRONOPLE!$F$14,$M144,AO$13))))</f>
        <v>1000000000000</v>
      </c>
      <c r="AP144" s="181">
        <f ca="1">IF($D144&lt;&gt;"Serviço",0,IF(AND(AUTOEVENTO="Manual",$M144=1),0,IF(OFFSET(CRONOPLE!$F$14,$M144,AP$13)="",10^12,OFFSET(CRONOPLE!$F$14,$M144,AP$13))))</f>
        <v>1000000000000</v>
      </c>
      <c r="AQ144" s="181">
        <f ca="1">IF($D144&lt;&gt;"Serviço",0,IF(AND(AUTOEVENTO="Manual",$M144=1),0,IF(OFFSET(CRONOPLE!$F$14,$M144,AQ$13)="",10^12,OFFSET(CRONOPLE!$F$14,$M144,AQ$13))))</f>
        <v>1000000000000</v>
      </c>
      <c r="AR144" s="181">
        <f ca="1">IF($D144&lt;&gt;"Serviço",0,IF(AND(AUTOEVENTO="Manual",$M144=1),0,IF(OFFSET(CRONOPLE!$F$14,$M144,AR$13)="",10^12,OFFSET(CRONOPLE!$F$14,$M144,AR$13))))</f>
        <v>1000000000000</v>
      </c>
      <c r="AS144" s="181">
        <f ca="1">IF($D144&lt;&gt;"Serviço",0,IF(AND(AUTOEVENTO="Manual",$M144=1),0,IF(OFFSET(CRONOPLE!$F$14,$M144,AS$13)="",10^12,OFFSET(CRONOPLE!$F$14,$M144,AS$13))))</f>
        <v>1000000000000</v>
      </c>
      <c r="AT144" s="181">
        <f ca="1">IF($D144&lt;&gt;"Serviço",0,IF(AND(AUTOEVENTO="Manual",$M144=1),0,IF(OFFSET(CRONOPLE!$F$14,$M144,AT$13)="",10^12,OFFSET(CRONOPLE!$F$14,$M144,AT$13))))</f>
        <v>1000000000000</v>
      </c>
      <c r="AU144" s="181">
        <f ca="1">IF($D144&lt;&gt;"Serviço",0,IF(AND(AUTOEVENTO="Manual",$M144=1),0,IF(OFFSET(CRONOPLE!$F$14,$M144,AU$13)="",10^12,OFFSET(CRONOPLE!$F$14,$M144,AU$13))))</f>
        <v>1000000000000</v>
      </c>
      <c r="AV144" s="181">
        <f ca="1">IF($D144&lt;&gt;"Serviço",0,IF(AND(AUTOEVENTO="Manual",$M144=1),0,IF(OFFSET(CRONOPLE!$F$14,$M144,AV$13)="",10^12,OFFSET(CRONOPLE!$F$14,$M144,AV$13))))</f>
        <v>1000000000000</v>
      </c>
      <c r="AX144" s="182">
        <f ca="1">IF($D144&lt;&gt;"Serviço",0,IF(OR(AND(AUTOEVENTO="Manual",$M144=1),$M144&gt;(ROW(PLE.lastrow)-ROW(PLE.firstrow))),0,IF(OFFSET(PLE!$G$14,$M144,AX$13)="",10^12,OFFSET(PLE!$G$14,$M144,AX$13))))</f>
        <v>1000000000000</v>
      </c>
      <c r="AY144" s="182">
        <f ca="1">IF($D144&lt;&gt;"Serviço",0,IF(OR(AND(AUTOEVENTO="Manual",$M144=1),$M144&gt;(ROW(PLE.lastrow)-ROW(PLE.firstrow))),0,IF(OFFSET(PLE!$G$14,$M144,AY$13)="",10^12,OFFSET(PLE!$G$14,$M144,AY$13))))</f>
        <v>1000000000000</v>
      </c>
      <c r="AZ144" s="182">
        <f ca="1">IF($D144&lt;&gt;"Serviço",0,IF(OR(AND(AUTOEVENTO="Manual",$M144=1),$M144&gt;(ROW(PLE.lastrow)-ROW(PLE.firstrow))),0,IF(OFFSET(PLE!$G$14,$M144,AZ$13)="",10^12,OFFSET(PLE!$G$14,$M144,AZ$13))))</f>
        <v>1000000000000</v>
      </c>
      <c r="BA144" s="182">
        <f ca="1">IF($D144&lt;&gt;"Serviço",0,IF(OR(AND(AUTOEVENTO="Manual",$M144=1),$M144&gt;(ROW(PLE.lastrow)-ROW(PLE.firstrow))),0,IF(OFFSET(PLE!$G$14,$M144,BA$13)="",10^12,OFFSET(PLE!$G$14,$M144,BA$13))))</f>
        <v>1000000000000</v>
      </c>
      <c r="BB144" s="182">
        <f ca="1">IF($D144&lt;&gt;"Serviço",0,IF(OR(AND(AUTOEVENTO="Manual",$M144=1),$M144&gt;(ROW(PLE.lastrow)-ROW(PLE.firstrow))),0,IF(OFFSET(PLE!$G$14,$M144,BB$13)="",10^12,OFFSET(PLE!$G$14,$M144,BB$13))))</f>
        <v>1000000000000</v>
      </c>
      <c r="BC144" s="182">
        <f ca="1">IF($D144&lt;&gt;"Serviço",0,IF(OR(AND(AUTOEVENTO="Manual",$M144=1),$M144&gt;(ROW(PLE.lastrow)-ROW(PLE.firstrow))),0,IF(OFFSET(PLE!$G$14,$M144,BC$13)="",10^12,OFFSET(PLE!$G$14,$M144,BC$13))))</f>
        <v>1000000000000</v>
      </c>
      <c r="BD144" s="182">
        <f ca="1">IF($D144&lt;&gt;"Serviço",0,IF(OR(AND(AUTOEVENTO="Manual",$M144=1),$M144&gt;(ROW(PLE.lastrow)-ROW(PLE.firstrow))),0,IF(OFFSET(PLE!$G$14,$M144,BD$13)="",10^12,OFFSET(PLE!$G$14,$M144,BD$13))))</f>
        <v>1000000000000</v>
      </c>
      <c r="BE144" s="182">
        <f ca="1">IF($D144&lt;&gt;"Serviço",0,IF(OR(AND(AUTOEVENTO="Manual",$M144=1),$M144&gt;(ROW(PLE.lastrow)-ROW(PLE.firstrow))),0,IF(OFFSET(PLE!$G$14,$M144,BE$13)="",10^12,OFFSET(PLE!$G$14,$M144,BE$13))))</f>
        <v>1000000000000</v>
      </c>
      <c r="BF144" s="182">
        <f ca="1">IF($D144&lt;&gt;"Serviço",0,IF(OR(AND(AUTOEVENTO="Manual",$M144=1),$M144&gt;(ROW(PLE.lastrow)-ROW(PLE.firstrow))),0,IF(OFFSET(PLE!$G$14,$M144,BF$13)="",10^12,OFFSET(PLE!$G$14,$M144,BF$13))))</f>
        <v>1000000000000</v>
      </c>
      <c r="BG144" s="182">
        <f ca="1">IF($D144&lt;&gt;"Serviço",0,IF(OR(AND(AUTOEVENTO="Manual",$M144=1),$M144&gt;(ROW(PLE.lastrow)-ROW(PLE.firstrow))),0,IF(OFFSET(PLE!$G$14,$M144,BG$13)="",10^12,OFFSET(PLE!$G$14,$M144,BG$13))))</f>
        <v>1000000000000</v>
      </c>
    </row>
    <row r="145" spans="1:59" ht="12.75" x14ac:dyDescent="0.2">
      <c r="A145" s="7" t="str">
        <f ca="1">IF(AUTOEVENTO="Manual",IF(K145&lt;&gt;"",MIN(VALUE(LEFT(K145,FIND(".",K145)-1)),COUNTA(EVENTOS.Lista)),0),IF(OR($B145&gt;AUTOEVENTO,$B145="S",$B145=0),SUBSTITUTE(OFFSET($A145,-1,0),IF($D145="Serviço",".",""),""),ROW(A145)-ROW($A$15)&amp;"."))</f>
        <v>130.</v>
      </c>
      <c r="B145" s="7">
        <f ca="1">OFFSET(ORÇAMENTO!C$15,ROW(B145)-ROW(B$15),0)</f>
        <v>1</v>
      </c>
      <c r="C145" s="7" t="str">
        <f ca="1">OFFSET(ORÇAMENTO!L$15,ROW(C145)-ROW(C$15),0)</f>
        <v>F</v>
      </c>
      <c r="D145" s="118" t="str">
        <f ca="1">OFFSET(ORÇAMENTO!N$15,ROW(D145)-ROW(D$15),0)</f>
        <v>Meta</v>
      </c>
      <c r="E145" s="119" t="str">
        <f ca="1">OFFSET(ORÇAMENTO!O$15,ROW(E145)-ROW(E$15),0)</f>
        <v>9.</v>
      </c>
      <c r="F145" s="172" t="str">
        <f ca="1">OFFSET(ORÇAMENTO!R$15,ROW(F145)-ROW(F$15),0)</f>
        <v>INCENDIO</v>
      </c>
      <c r="G145" s="173" t="str">
        <f ca="1">IF($D145&lt;&gt;"Serviço","",OFFSET(ORÇAMENTO!S$15,ROW(G145)-ROW(G$15),0))</f>
        <v/>
      </c>
      <c r="H145" s="124">
        <f ca="1">IF($D145&lt;&gt;"Serviço",0,IF(ACOMPANHAMENTO="BM",ROUND(OFFSET(ORÇAMENTO!AJ$15,ROW(H145)-ROW(H$15),0),15-13*ORÇAMENTO!$AF$7),SUMPRODUCT(($Q$12:$AA$12&lt;&gt;"")*ROUND($Q145:$AA145,15-13*ORÇAMENTO!$AF$7))))</f>
        <v>0</v>
      </c>
      <c r="I145" s="561"/>
      <c r="K145" s="174"/>
      <c r="L145" s="175" t="s">
        <v>255</v>
      </c>
      <c r="M145" s="176" t="str">
        <f ca="1">IF($D145&lt;&gt;"Serviço","",IF(AUTOEVENTO="manual",$A145,IF(ISERROR(MATCH($A145,$A$15:OFFSET($A145,-1,0),0)),MAX($M$15:OFFSET(M145,-1,0))+1,INDEX($M$15:OFFSET(M145,-1,0),MATCH($A145,$A$15:OFFSET($A145,-1,0),0)))))</f>
        <v/>
      </c>
      <c r="N145" s="177" t="str">
        <f ca="1">IF($D145&lt;&gt;"Serviço","",IF(AUTOEVENTO="Manual",IF($A145=0,"&lt;-- defina o número do agrupador",OFFSET(EVENTOS!$D$14,$A145,0)),OFFSET($F$15,$A145,0)))</f>
        <v/>
      </c>
      <c r="O145" s="178"/>
      <c r="Q145" s="178"/>
      <c r="R145" s="179"/>
      <c r="S145" s="179"/>
      <c r="T145" s="179"/>
      <c r="U145" s="179"/>
      <c r="V145" s="179"/>
      <c r="W145" s="179"/>
      <c r="X145" s="179"/>
      <c r="Y145" s="179"/>
      <c r="Z145" s="180"/>
      <c r="AB145" s="544">
        <f ca="1">IF(AND($D145="Serviço",AB$12&lt;&gt;0,$H145&gt;0,OR(AUTOEVENTO&lt;&gt;"manual",$M145&lt;&gt;1)),
IF(Import.TipoArredondamento&lt;&gt;"TransfereGOV",
ROUND(OFFSET($P145,0,AB$13),15-13*ORÇAMENTO!$AF$7)/$H145*OFFSET(ORÇAMENTO!$X$15,ROW(AB145)-ROW(AB$15),0),
ROUND(ROUND(OFFSET($P145,0,AB$13),15-13*ORÇAMENTO!$AF$7)*OFFSET(ORÇAMENTO!$W$15,ROW(AB145)-ROW(AB$15),0),15-13*ORÇAMENTO!$AF$11)),0)</f>
        <v>0</v>
      </c>
      <c r="AC145" s="545">
        <f ca="1">IF(AND($D145="Serviço",AC$12&lt;&gt;0,$H145&gt;0,OR(AUTOEVENTO&lt;&gt;"manual",$M145&lt;&gt;1)),
IF(Import.TipoArredondamento&lt;&gt;"TransfereGOV",
ROUND(OFFSET($P145,0,AC$13),15-13*ORÇAMENTO!$AF$7)/$H145*OFFSET(ORÇAMENTO!$X$15,ROW(AC145)-ROW(AC$15),0),
ROUND(ROUND(OFFSET($P145,0,AC$13),15-13*ORÇAMENTO!$AF$7)*OFFSET(ORÇAMENTO!$W$15,ROW(AC145)-ROW(AC$15),0),15-13*ORÇAMENTO!$AF$11)),0)</f>
        <v>0</v>
      </c>
      <c r="AD145" s="545">
        <f ca="1">IF(AND($D145="Serviço",AD$12&lt;&gt;0,$H145&gt;0,OR(AUTOEVENTO&lt;&gt;"manual",$M145&lt;&gt;1)),
IF(Import.TipoArredondamento&lt;&gt;"TransfereGOV",
ROUND(OFFSET($P145,0,AD$13),15-13*ORÇAMENTO!$AF$7)/$H145*OFFSET(ORÇAMENTO!$X$15,ROW(AD145)-ROW(AD$15),0),
ROUND(ROUND(OFFSET($P145,0,AD$13),15-13*ORÇAMENTO!$AF$7)*OFFSET(ORÇAMENTO!$W$15,ROW(AD145)-ROW(AD$15),0),15-13*ORÇAMENTO!$AF$11)),0)</f>
        <v>0</v>
      </c>
      <c r="AE145" s="545">
        <f ca="1">IF(AND($D145="Serviço",AE$12&lt;&gt;0,$H145&gt;0,OR(AUTOEVENTO&lt;&gt;"manual",$M145&lt;&gt;1)),
IF(Import.TipoArredondamento&lt;&gt;"TransfereGOV",
ROUND(OFFSET($P145,0,AE$13),15-13*ORÇAMENTO!$AF$7)/$H145*OFFSET(ORÇAMENTO!$X$15,ROW(AE145)-ROW(AE$15),0),
ROUND(ROUND(OFFSET($P145,0,AE$13),15-13*ORÇAMENTO!$AF$7)*OFFSET(ORÇAMENTO!$W$15,ROW(AE145)-ROW(AE$15),0),15-13*ORÇAMENTO!$AF$11)),0)</f>
        <v>0</v>
      </c>
      <c r="AF145" s="545">
        <f ca="1">IF(AND($D145="Serviço",AF$12&lt;&gt;0,$H145&gt;0,OR(AUTOEVENTO&lt;&gt;"manual",$M145&lt;&gt;1)),
IF(Import.TipoArredondamento&lt;&gt;"TransfereGOV",
ROUND(OFFSET($P145,0,AF$13),15-13*ORÇAMENTO!$AF$7)/$H145*OFFSET(ORÇAMENTO!$X$15,ROW(AF145)-ROW(AF$15),0),
ROUND(ROUND(OFFSET($P145,0,AF$13),15-13*ORÇAMENTO!$AF$7)*OFFSET(ORÇAMENTO!$W$15,ROW(AF145)-ROW(AF$15),0),15-13*ORÇAMENTO!$AF$11)),0)</f>
        <v>0</v>
      </c>
      <c r="AG145" s="545">
        <f ca="1">IF(AND($D145="Serviço",AG$12&lt;&gt;0,$H145&gt;0,OR(AUTOEVENTO&lt;&gt;"manual",$M145&lt;&gt;1)),
IF(Import.TipoArredondamento&lt;&gt;"TransfereGOV",
ROUND(OFFSET($P145,0,AG$13),15-13*ORÇAMENTO!$AF$7)/$H145*OFFSET(ORÇAMENTO!$X$15,ROW(AG145)-ROW(AG$15),0),
ROUND(ROUND(OFFSET($P145,0,AG$13),15-13*ORÇAMENTO!$AF$7)*OFFSET(ORÇAMENTO!$W$15,ROW(AG145)-ROW(AG$15),0),15-13*ORÇAMENTO!$AF$11)),0)</f>
        <v>0</v>
      </c>
      <c r="AH145" s="545">
        <f ca="1">IF(AND($D145="Serviço",AH$12&lt;&gt;0,$H145&gt;0,OR(AUTOEVENTO&lt;&gt;"manual",$M145&lt;&gt;1)),
IF(Import.TipoArredondamento&lt;&gt;"TransfereGOV",
ROUND(OFFSET($P145,0,AH$13),15-13*ORÇAMENTO!$AF$7)/$H145*OFFSET(ORÇAMENTO!$X$15,ROW(AH145)-ROW(AH$15),0),
ROUND(ROUND(OFFSET($P145,0,AH$13),15-13*ORÇAMENTO!$AF$7)*OFFSET(ORÇAMENTO!$W$15,ROW(AH145)-ROW(AH$15),0),15-13*ORÇAMENTO!$AF$11)),0)</f>
        <v>0</v>
      </c>
      <c r="AI145" s="545">
        <f ca="1">IF(AND($D145="Serviço",AI$12&lt;&gt;0,$H145&gt;0,OR(AUTOEVENTO&lt;&gt;"manual",$M145&lt;&gt;1)),
IF(Import.TipoArredondamento&lt;&gt;"TransfereGOV",
ROUND(OFFSET($P145,0,AI$13),15-13*ORÇAMENTO!$AF$7)/$H145*OFFSET(ORÇAMENTO!$X$15,ROW(AI145)-ROW(AI$15),0),
ROUND(ROUND(OFFSET($P145,0,AI$13),15-13*ORÇAMENTO!$AF$7)*OFFSET(ORÇAMENTO!$W$15,ROW(AI145)-ROW(AI$15),0),15-13*ORÇAMENTO!$AF$11)),0)</f>
        <v>0</v>
      </c>
      <c r="AJ145" s="545">
        <f ca="1">IF(AND($D145="Serviço",AJ$12&lt;&gt;0,$H145&gt;0,OR(AUTOEVENTO&lt;&gt;"manual",$M145&lt;&gt;1)),
IF(Import.TipoArredondamento&lt;&gt;"TransfereGOV",
ROUND(OFFSET($P145,0,AJ$13),15-13*ORÇAMENTO!$AF$7)/$H145*OFFSET(ORÇAMENTO!$X$15,ROW(AJ145)-ROW(AJ$15),0),
ROUND(ROUND(OFFSET($P145,0,AJ$13),15-13*ORÇAMENTO!$AF$7)*OFFSET(ORÇAMENTO!$W$15,ROW(AJ145)-ROW(AJ$15),0),15-13*ORÇAMENTO!$AF$11)),0)</f>
        <v>0</v>
      </c>
      <c r="AK145" s="546">
        <f ca="1">IF(AND($D145="Serviço",AK$12&lt;&gt;0,$H145&gt;0,OR(AUTOEVENTO&lt;&gt;"manual",$M145&lt;&gt;1)),
IF(Import.TipoArredondamento&lt;&gt;"TransfereGOV",
ROUND(OFFSET($P145,0,AK$13),15-13*ORÇAMENTO!$AF$7)/$H145*OFFSET(ORÇAMENTO!$X$15,ROW(AK145)-ROW(AK$15),0),
ROUND(ROUND(OFFSET($P145,0,AK$13),15-13*ORÇAMENTO!$AF$7)*OFFSET(ORÇAMENTO!$W$15,ROW(AK145)-ROW(AK$15),0),15-13*ORÇAMENTO!$AF$11)),0)</f>
        <v>0</v>
      </c>
      <c r="AM145" s="181">
        <f ca="1">IF($D145&lt;&gt;"Serviço",0,IF(AND(AUTOEVENTO="Manual",$M145=1),0,IF(OFFSET(CRONOPLE!$F$14,$M145,AM$13)="",10^12,OFFSET(CRONOPLE!$F$14,$M145,AM$13))))</f>
        <v>0</v>
      </c>
      <c r="AN145" s="181">
        <f ca="1">IF($D145&lt;&gt;"Serviço",0,IF(AND(AUTOEVENTO="Manual",$M145=1),0,IF(OFFSET(CRONOPLE!$F$14,$M145,AN$13)="",10^12,OFFSET(CRONOPLE!$F$14,$M145,AN$13))))</f>
        <v>0</v>
      </c>
      <c r="AO145" s="181">
        <f ca="1">IF($D145&lt;&gt;"Serviço",0,IF(AND(AUTOEVENTO="Manual",$M145=1),0,IF(OFFSET(CRONOPLE!$F$14,$M145,AO$13)="",10^12,OFFSET(CRONOPLE!$F$14,$M145,AO$13))))</f>
        <v>0</v>
      </c>
      <c r="AP145" s="181">
        <f ca="1">IF($D145&lt;&gt;"Serviço",0,IF(AND(AUTOEVENTO="Manual",$M145=1),0,IF(OFFSET(CRONOPLE!$F$14,$M145,AP$13)="",10^12,OFFSET(CRONOPLE!$F$14,$M145,AP$13))))</f>
        <v>0</v>
      </c>
      <c r="AQ145" s="181">
        <f ca="1">IF($D145&lt;&gt;"Serviço",0,IF(AND(AUTOEVENTO="Manual",$M145=1),0,IF(OFFSET(CRONOPLE!$F$14,$M145,AQ$13)="",10^12,OFFSET(CRONOPLE!$F$14,$M145,AQ$13))))</f>
        <v>0</v>
      </c>
      <c r="AR145" s="181">
        <f ca="1">IF($D145&lt;&gt;"Serviço",0,IF(AND(AUTOEVENTO="Manual",$M145=1),0,IF(OFFSET(CRONOPLE!$F$14,$M145,AR$13)="",10^12,OFFSET(CRONOPLE!$F$14,$M145,AR$13))))</f>
        <v>0</v>
      </c>
      <c r="AS145" s="181">
        <f ca="1">IF($D145&lt;&gt;"Serviço",0,IF(AND(AUTOEVENTO="Manual",$M145=1),0,IF(OFFSET(CRONOPLE!$F$14,$M145,AS$13)="",10^12,OFFSET(CRONOPLE!$F$14,$M145,AS$13))))</f>
        <v>0</v>
      </c>
      <c r="AT145" s="181">
        <f ca="1">IF($D145&lt;&gt;"Serviço",0,IF(AND(AUTOEVENTO="Manual",$M145=1),0,IF(OFFSET(CRONOPLE!$F$14,$M145,AT$13)="",10^12,OFFSET(CRONOPLE!$F$14,$M145,AT$13))))</f>
        <v>0</v>
      </c>
      <c r="AU145" s="181">
        <f ca="1">IF($D145&lt;&gt;"Serviço",0,IF(AND(AUTOEVENTO="Manual",$M145=1),0,IF(OFFSET(CRONOPLE!$F$14,$M145,AU$13)="",10^12,OFFSET(CRONOPLE!$F$14,$M145,AU$13))))</f>
        <v>0</v>
      </c>
      <c r="AV145" s="181">
        <f ca="1">IF($D145&lt;&gt;"Serviço",0,IF(AND(AUTOEVENTO="Manual",$M145=1),0,IF(OFFSET(CRONOPLE!$F$14,$M145,AV$13)="",10^12,OFFSET(CRONOPLE!$F$14,$M145,AV$13))))</f>
        <v>0</v>
      </c>
      <c r="AX145" s="182">
        <f ca="1">IF($D145&lt;&gt;"Serviço",0,IF(OR(AND(AUTOEVENTO="Manual",$M145=1),$M145&gt;(ROW(PLE.lastrow)-ROW(PLE.firstrow))),0,IF(OFFSET(PLE!$G$14,$M145,AX$13)="",10^12,OFFSET(PLE!$G$14,$M145,AX$13))))</f>
        <v>0</v>
      </c>
      <c r="AY145" s="182">
        <f ca="1">IF($D145&lt;&gt;"Serviço",0,IF(OR(AND(AUTOEVENTO="Manual",$M145=1),$M145&gt;(ROW(PLE.lastrow)-ROW(PLE.firstrow))),0,IF(OFFSET(PLE!$G$14,$M145,AY$13)="",10^12,OFFSET(PLE!$G$14,$M145,AY$13))))</f>
        <v>0</v>
      </c>
      <c r="AZ145" s="182">
        <f ca="1">IF($D145&lt;&gt;"Serviço",0,IF(OR(AND(AUTOEVENTO="Manual",$M145=1),$M145&gt;(ROW(PLE.lastrow)-ROW(PLE.firstrow))),0,IF(OFFSET(PLE!$G$14,$M145,AZ$13)="",10^12,OFFSET(PLE!$G$14,$M145,AZ$13))))</f>
        <v>0</v>
      </c>
      <c r="BA145" s="182">
        <f ca="1">IF($D145&lt;&gt;"Serviço",0,IF(OR(AND(AUTOEVENTO="Manual",$M145=1),$M145&gt;(ROW(PLE.lastrow)-ROW(PLE.firstrow))),0,IF(OFFSET(PLE!$G$14,$M145,BA$13)="",10^12,OFFSET(PLE!$G$14,$M145,BA$13))))</f>
        <v>0</v>
      </c>
      <c r="BB145" s="182">
        <f ca="1">IF($D145&lt;&gt;"Serviço",0,IF(OR(AND(AUTOEVENTO="Manual",$M145=1),$M145&gt;(ROW(PLE.lastrow)-ROW(PLE.firstrow))),0,IF(OFFSET(PLE!$G$14,$M145,BB$13)="",10^12,OFFSET(PLE!$G$14,$M145,BB$13))))</f>
        <v>0</v>
      </c>
      <c r="BC145" s="182">
        <f ca="1">IF($D145&lt;&gt;"Serviço",0,IF(OR(AND(AUTOEVENTO="Manual",$M145=1),$M145&gt;(ROW(PLE.lastrow)-ROW(PLE.firstrow))),0,IF(OFFSET(PLE!$G$14,$M145,BC$13)="",10^12,OFFSET(PLE!$G$14,$M145,BC$13))))</f>
        <v>0</v>
      </c>
      <c r="BD145" s="182">
        <f ca="1">IF($D145&lt;&gt;"Serviço",0,IF(OR(AND(AUTOEVENTO="Manual",$M145=1),$M145&gt;(ROW(PLE.lastrow)-ROW(PLE.firstrow))),0,IF(OFFSET(PLE!$G$14,$M145,BD$13)="",10^12,OFFSET(PLE!$G$14,$M145,BD$13))))</f>
        <v>0</v>
      </c>
      <c r="BE145" s="182">
        <f ca="1">IF($D145&lt;&gt;"Serviço",0,IF(OR(AND(AUTOEVENTO="Manual",$M145=1),$M145&gt;(ROW(PLE.lastrow)-ROW(PLE.firstrow))),0,IF(OFFSET(PLE!$G$14,$M145,BE$13)="",10^12,OFFSET(PLE!$G$14,$M145,BE$13))))</f>
        <v>0</v>
      </c>
      <c r="BF145" s="182">
        <f ca="1">IF($D145&lt;&gt;"Serviço",0,IF(OR(AND(AUTOEVENTO="Manual",$M145=1),$M145&gt;(ROW(PLE.lastrow)-ROW(PLE.firstrow))),0,IF(OFFSET(PLE!$G$14,$M145,BF$13)="",10^12,OFFSET(PLE!$G$14,$M145,BF$13))))</f>
        <v>0</v>
      </c>
      <c r="BG145" s="182">
        <f ca="1">IF($D145&lt;&gt;"Serviço",0,IF(OR(AND(AUTOEVENTO="Manual",$M145=1),$M145&gt;(ROW(PLE.lastrow)-ROW(PLE.firstrow))),0,IF(OFFSET(PLE!$G$14,$M145,BG$13)="",10^12,OFFSET(PLE!$G$14,$M145,BG$13))))</f>
        <v>0</v>
      </c>
    </row>
    <row r="146" spans="1:59" ht="12.75" x14ac:dyDescent="0.2">
      <c r="A146" s="7" t="str">
        <f t="shared" ca="1" si="13"/>
        <v>131.</v>
      </c>
      <c r="B146" s="7">
        <f ca="1">OFFSET(ORÇAMENTO!C$15,ROW(B146)-ROW(B$15),0)</f>
        <v>2</v>
      </c>
      <c r="C146" s="7" t="str">
        <f ca="1">OFFSET(ORÇAMENTO!L$15,ROW(C146)-ROW(C$15),0)</f>
        <v>F</v>
      </c>
      <c r="D146" s="118" t="str">
        <f ca="1">OFFSET(ORÇAMENTO!N$15,ROW(D146)-ROW(D$15),0)</f>
        <v>Nível 2</v>
      </c>
      <c r="E146" s="119" t="str">
        <f ca="1">OFFSET(ORÇAMENTO!O$15,ROW(E146)-ROW(E$15),0)</f>
        <v>9.1.</v>
      </c>
      <c r="F146" s="172" t="str">
        <f ca="1">OFFSET(ORÇAMENTO!R$15,ROW(F146)-ROW(F$15),0)</f>
        <v>PREVENTIVO DE INCENDIO</v>
      </c>
      <c r="G146" s="173" t="str">
        <f ca="1">IF($D146&lt;&gt;"Serviço","",OFFSET(ORÇAMENTO!S$15,ROW(G146)-ROW(G$15),0))</f>
        <v/>
      </c>
      <c r="H146" s="124">
        <f ca="1">IF($D146&lt;&gt;"Serviço",0,IF(ACOMPANHAMENTO="BM",ROUND(OFFSET(ORÇAMENTO!AJ$15,ROW(H146)-ROW(H$15),0),15-13*ORÇAMENTO!$AF$7),SUMPRODUCT(($Q$12:$AA$12&lt;&gt;"")*ROUND($Q146:$AA146,15-13*ORÇAMENTO!$AF$7))))</f>
        <v>0</v>
      </c>
      <c r="I146" s="561"/>
      <c r="K146" s="174"/>
      <c r="L146" s="175" t="s">
        <v>255</v>
      </c>
      <c r="M146" s="176" t="str">
        <f ca="1">IF($D146&lt;&gt;"Serviço","",IF(AUTOEVENTO="manual",$A146,IF(ISERROR(MATCH($A146,$A$15:OFFSET($A146,-1,0),0)),MAX($M$15:OFFSET(M146,-1,0))+1,INDEX($M$15:OFFSET(M146,-1,0),MATCH($A146,$A$15:OFFSET($A146,-1,0),0)))))</f>
        <v/>
      </c>
      <c r="N146" s="177" t="str">
        <f ca="1">IF($D146&lt;&gt;"Serviço","",IF(AUTOEVENTO="Manual",IF($A146=0,"&lt;-- defina o número do agrupador",OFFSET(EVENTOS!$D$14,$A146,0)),OFFSET($F$15,$A146,0)))</f>
        <v/>
      </c>
      <c r="O146" s="178"/>
      <c r="Q146" s="178"/>
      <c r="R146" s="179"/>
      <c r="S146" s="179"/>
      <c r="T146" s="179"/>
      <c r="U146" s="179"/>
      <c r="V146" s="179"/>
      <c r="W146" s="179"/>
      <c r="X146" s="179"/>
      <c r="Y146" s="179"/>
      <c r="Z146" s="180"/>
      <c r="AB146" s="544">
        <f ca="1">IF(AND($D146="Serviço",AB$12&lt;&gt;0,$H146&gt;0,OR(AUTOEVENTO&lt;&gt;"manual",$M146&lt;&gt;1)),
IF(Import.TipoArredondamento&lt;&gt;"TransfereGOV",
ROUND(OFFSET($P146,0,AB$13),15-13*ORÇAMENTO!$AF$7)/$H146*OFFSET(ORÇAMENTO!$X$15,ROW(AB146)-ROW(AB$15),0),
ROUND(ROUND(OFFSET($P146,0,AB$13),15-13*ORÇAMENTO!$AF$7)*OFFSET(ORÇAMENTO!$W$15,ROW(AB146)-ROW(AB$15),0),15-13*ORÇAMENTO!$AF$11)),0)</f>
        <v>0</v>
      </c>
      <c r="AC146" s="545">
        <f ca="1">IF(AND($D146="Serviço",AC$12&lt;&gt;0,$H146&gt;0,OR(AUTOEVENTO&lt;&gt;"manual",$M146&lt;&gt;1)),
IF(Import.TipoArredondamento&lt;&gt;"TransfereGOV",
ROUND(OFFSET($P146,0,AC$13),15-13*ORÇAMENTO!$AF$7)/$H146*OFFSET(ORÇAMENTO!$X$15,ROW(AC146)-ROW(AC$15),0),
ROUND(ROUND(OFFSET($P146,0,AC$13),15-13*ORÇAMENTO!$AF$7)*OFFSET(ORÇAMENTO!$W$15,ROW(AC146)-ROW(AC$15),0),15-13*ORÇAMENTO!$AF$11)),0)</f>
        <v>0</v>
      </c>
      <c r="AD146" s="545">
        <f ca="1">IF(AND($D146="Serviço",AD$12&lt;&gt;0,$H146&gt;0,OR(AUTOEVENTO&lt;&gt;"manual",$M146&lt;&gt;1)),
IF(Import.TipoArredondamento&lt;&gt;"TransfereGOV",
ROUND(OFFSET($P146,0,AD$13),15-13*ORÇAMENTO!$AF$7)/$H146*OFFSET(ORÇAMENTO!$X$15,ROW(AD146)-ROW(AD$15),0),
ROUND(ROUND(OFFSET($P146,0,AD$13),15-13*ORÇAMENTO!$AF$7)*OFFSET(ORÇAMENTO!$W$15,ROW(AD146)-ROW(AD$15),0),15-13*ORÇAMENTO!$AF$11)),0)</f>
        <v>0</v>
      </c>
      <c r="AE146" s="545">
        <f ca="1">IF(AND($D146="Serviço",AE$12&lt;&gt;0,$H146&gt;0,OR(AUTOEVENTO&lt;&gt;"manual",$M146&lt;&gt;1)),
IF(Import.TipoArredondamento&lt;&gt;"TransfereGOV",
ROUND(OFFSET($P146,0,AE$13),15-13*ORÇAMENTO!$AF$7)/$H146*OFFSET(ORÇAMENTO!$X$15,ROW(AE146)-ROW(AE$15),0),
ROUND(ROUND(OFFSET($P146,0,AE$13),15-13*ORÇAMENTO!$AF$7)*OFFSET(ORÇAMENTO!$W$15,ROW(AE146)-ROW(AE$15),0),15-13*ORÇAMENTO!$AF$11)),0)</f>
        <v>0</v>
      </c>
      <c r="AF146" s="545">
        <f ca="1">IF(AND($D146="Serviço",AF$12&lt;&gt;0,$H146&gt;0,OR(AUTOEVENTO&lt;&gt;"manual",$M146&lt;&gt;1)),
IF(Import.TipoArredondamento&lt;&gt;"TransfereGOV",
ROUND(OFFSET($P146,0,AF$13),15-13*ORÇAMENTO!$AF$7)/$H146*OFFSET(ORÇAMENTO!$X$15,ROW(AF146)-ROW(AF$15),0),
ROUND(ROUND(OFFSET($P146,0,AF$13),15-13*ORÇAMENTO!$AF$7)*OFFSET(ORÇAMENTO!$W$15,ROW(AF146)-ROW(AF$15),0),15-13*ORÇAMENTO!$AF$11)),0)</f>
        <v>0</v>
      </c>
      <c r="AG146" s="545">
        <f ca="1">IF(AND($D146="Serviço",AG$12&lt;&gt;0,$H146&gt;0,OR(AUTOEVENTO&lt;&gt;"manual",$M146&lt;&gt;1)),
IF(Import.TipoArredondamento&lt;&gt;"TransfereGOV",
ROUND(OFFSET($P146,0,AG$13),15-13*ORÇAMENTO!$AF$7)/$H146*OFFSET(ORÇAMENTO!$X$15,ROW(AG146)-ROW(AG$15),0),
ROUND(ROUND(OFFSET($P146,0,AG$13),15-13*ORÇAMENTO!$AF$7)*OFFSET(ORÇAMENTO!$W$15,ROW(AG146)-ROW(AG$15),0),15-13*ORÇAMENTO!$AF$11)),0)</f>
        <v>0</v>
      </c>
      <c r="AH146" s="545">
        <f ca="1">IF(AND($D146="Serviço",AH$12&lt;&gt;0,$H146&gt;0,OR(AUTOEVENTO&lt;&gt;"manual",$M146&lt;&gt;1)),
IF(Import.TipoArredondamento&lt;&gt;"TransfereGOV",
ROUND(OFFSET($P146,0,AH$13),15-13*ORÇAMENTO!$AF$7)/$H146*OFFSET(ORÇAMENTO!$X$15,ROW(AH146)-ROW(AH$15),0),
ROUND(ROUND(OFFSET($P146,0,AH$13),15-13*ORÇAMENTO!$AF$7)*OFFSET(ORÇAMENTO!$W$15,ROW(AH146)-ROW(AH$15),0),15-13*ORÇAMENTO!$AF$11)),0)</f>
        <v>0</v>
      </c>
      <c r="AI146" s="545">
        <f ca="1">IF(AND($D146="Serviço",AI$12&lt;&gt;0,$H146&gt;0,OR(AUTOEVENTO&lt;&gt;"manual",$M146&lt;&gt;1)),
IF(Import.TipoArredondamento&lt;&gt;"TransfereGOV",
ROUND(OFFSET($P146,0,AI$13),15-13*ORÇAMENTO!$AF$7)/$H146*OFFSET(ORÇAMENTO!$X$15,ROW(AI146)-ROW(AI$15),0),
ROUND(ROUND(OFFSET($P146,0,AI$13),15-13*ORÇAMENTO!$AF$7)*OFFSET(ORÇAMENTO!$W$15,ROW(AI146)-ROW(AI$15),0),15-13*ORÇAMENTO!$AF$11)),0)</f>
        <v>0</v>
      </c>
      <c r="AJ146" s="545">
        <f ca="1">IF(AND($D146="Serviço",AJ$12&lt;&gt;0,$H146&gt;0,OR(AUTOEVENTO&lt;&gt;"manual",$M146&lt;&gt;1)),
IF(Import.TipoArredondamento&lt;&gt;"TransfereGOV",
ROUND(OFFSET($P146,0,AJ$13),15-13*ORÇAMENTO!$AF$7)/$H146*OFFSET(ORÇAMENTO!$X$15,ROW(AJ146)-ROW(AJ$15),0),
ROUND(ROUND(OFFSET($P146,0,AJ$13),15-13*ORÇAMENTO!$AF$7)*OFFSET(ORÇAMENTO!$W$15,ROW(AJ146)-ROW(AJ$15),0),15-13*ORÇAMENTO!$AF$11)),0)</f>
        <v>0</v>
      </c>
      <c r="AK146" s="546">
        <f ca="1">IF(AND($D146="Serviço",AK$12&lt;&gt;0,$H146&gt;0,OR(AUTOEVENTO&lt;&gt;"manual",$M146&lt;&gt;1)),
IF(Import.TipoArredondamento&lt;&gt;"TransfereGOV",
ROUND(OFFSET($P146,0,AK$13),15-13*ORÇAMENTO!$AF$7)/$H146*OFFSET(ORÇAMENTO!$X$15,ROW(AK146)-ROW(AK$15),0),
ROUND(ROUND(OFFSET($P146,0,AK$13),15-13*ORÇAMENTO!$AF$7)*OFFSET(ORÇAMENTO!$W$15,ROW(AK146)-ROW(AK$15),0),15-13*ORÇAMENTO!$AF$11)),0)</f>
        <v>0</v>
      </c>
      <c r="AM146" s="181">
        <f ca="1">IF($D146&lt;&gt;"Serviço",0,IF(AND(AUTOEVENTO="Manual",$M146=1),0,IF(OFFSET(CRONOPLE!$F$14,$M146,AM$13)="",10^12,OFFSET(CRONOPLE!$F$14,$M146,AM$13))))</f>
        <v>0</v>
      </c>
      <c r="AN146" s="181">
        <f ca="1">IF($D146&lt;&gt;"Serviço",0,IF(AND(AUTOEVENTO="Manual",$M146=1),0,IF(OFFSET(CRONOPLE!$F$14,$M146,AN$13)="",10^12,OFFSET(CRONOPLE!$F$14,$M146,AN$13))))</f>
        <v>0</v>
      </c>
      <c r="AO146" s="181">
        <f ca="1">IF($D146&lt;&gt;"Serviço",0,IF(AND(AUTOEVENTO="Manual",$M146=1),0,IF(OFFSET(CRONOPLE!$F$14,$M146,AO$13)="",10^12,OFFSET(CRONOPLE!$F$14,$M146,AO$13))))</f>
        <v>0</v>
      </c>
      <c r="AP146" s="181">
        <f ca="1">IF($D146&lt;&gt;"Serviço",0,IF(AND(AUTOEVENTO="Manual",$M146=1),0,IF(OFFSET(CRONOPLE!$F$14,$M146,AP$13)="",10^12,OFFSET(CRONOPLE!$F$14,$M146,AP$13))))</f>
        <v>0</v>
      </c>
      <c r="AQ146" s="181">
        <f ca="1">IF($D146&lt;&gt;"Serviço",0,IF(AND(AUTOEVENTO="Manual",$M146=1),0,IF(OFFSET(CRONOPLE!$F$14,$M146,AQ$13)="",10^12,OFFSET(CRONOPLE!$F$14,$M146,AQ$13))))</f>
        <v>0</v>
      </c>
      <c r="AR146" s="181">
        <f ca="1">IF($D146&lt;&gt;"Serviço",0,IF(AND(AUTOEVENTO="Manual",$M146=1),0,IF(OFFSET(CRONOPLE!$F$14,$M146,AR$13)="",10^12,OFFSET(CRONOPLE!$F$14,$M146,AR$13))))</f>
        <v>0</v>
      </c>
      <c r="AS146" s="181">
        <f ca="1">IF($D146&lt;&gt;"Serviço",0,IF(AND(AUTOEVENTO="Manual",$M146=1),0,IF(OFFSET(CRONOPLE!$F$14,$M146,AS$13)="",10^12,OFFSET(CRONOPLE!$F$14,$M146,AS$13))))</f>
        <v>0</v>
      </c>
      <c r="AT146" s="181">
        <f ca="1">IF($D146&lt;&gt;"Serviço",0,IF(AND(AUTOEVENTO="Manual",$M146=1),0,IF(OFFSET(CRONOPLE!$F$14,$M146,AT$13)="",10^12,OFFSET(CRONOPLE!$F$14,$M146,AT$13))))</f>
        <v>0</v>
      </c>
      <c r="AU146" s="181">
        <f ca="1">IF($D146&lt;&gt;"Serviço",0,IF(AND(AUTOEVENTO="Manual",$M146=1),0,IF(OFFSET(CRONOPLE!$F$14,$M146,AU$13)="",10^12,OFFSET(CRONOPLE!$F$14,$M146,AU$13))))</f>
        <v>0</v>
      </c>
      <c r="AV146" s="181">
        <f ca="1">IF($D146&lt;&gt;"Serviço",0,IF(AND(AUTOEVENTO="Manual",$M146=1),0,IF(OFFSET(CRONOPLE!$F$14,$M146,AV$13)="",10^12,OFFSET(CRONOPLE!$F$14,$M146,AV$13))))</f>
        <v>0</v>
      </c>
      <c r="AX146" s="182">
        <f ca="1">IF($D146&lt;&gt;"Serviço",0,IF(OR(AND(AUTOEVENTO="Manual",$M146=1),$M146&gt;(ROW(PLE.lastrow)-ROW(PLE.firstrow))),0,IF(OFFSET(PLE!$G$14,$M146,AX$13)="",10^12,OFFSET(PLE!$G$14,$M146,AX$13))))</f>
        <v>0</v>
      </c>
      <c r="AY146" s="182">
        <f ca="1">IF($D146&lt;&gt;"Serviço",0,IF(OR(AND(AUTOEVENTO="Manual",$M146=1),$M146&gt;(ROW(PLE.lastrow)-ROW(PLE.firstrow))),0,IF(OFFSET(PLE!$G$14,$M146,AY$13)="",10^12,OFFSET(PLE!$G$14,$M146,AY$13))))</f>
        <v>0</v>
      </c>
      <c r="AZ146" s="182">
        <f ca="1">IF($D146&lt;&gt;"Serviço",0,IF(OR(AND(AUTOEVENTO="Manual",$M146=1),$M146&gt;(ROW(PLE.lastrow)-ROW(PLE.firstrow))),0,IF(OFFSET(PLE!$G$14,$M146,AZ$13)="",10^12,OFFSET(PLE!$G$14,$M146,AZ$13))))</f>
        <v>0</v>
      </c>
      <c r="BA146" s="182">
        <f ca="1">IF($D146&lt;&gt;"Serviço",0,IF(OR(AND(AUTOEVENTO="Manual",$M146=1),$M146&gt;(ROW(PLE.lastrow)-ROW(PLE.firstrow))),0,IF(OFFSET(PLE!$G$14,$M146,BA$13)="",10^12,OFFSET(PLE!$G$14,$M146,BA$13))))</f>
        <v>0</v>
      </c>
      <c r="BB146" s="182">
        <f ca="1">IF($D146&lt;&gt;"Serviço",0,IF(OR(AND(AUTOEVENTO="Manual",$M146=1),$M146&gt;(ROW(PLE.lastrow)-ROW(PLE.firstrow))),0,IF(OFFSET(PLE!$G$14,$M146,BB$13)="",10^12,OFFSET(PLE!$G$14,$M146,BB$13))))</f>
        <v>0</v>
      </c>
      <c r="BC146" s="182">
        <f ca="1">IF($D146&lt;&gt;"Serviço",0,IF(OR(AND(AUTOEVENTO="Manual",$M146=1),$M146&gt;(ROW(PLE.lastrow)-ROW(PLE.firstrow))),0,IF(OFFSET(PLE!$G$14,$M146,BC$13)="",10^12,OFFSET(PLE!$G$14,$M146,BC$13))))</f>
        <v>0</v>
      </c>
      <c r="BD146" s="182">
        <f ca="1">IF($D146&lt;&gt;"Serviço",0,IF(OR(AND(AUTOEVENTO="Manual",$M146=1),$M146&gt;(ROW(PLE.lastrow)-ROW(PLE.firstrow))),0,IF(OFFSET(PLE!$G$14,$M146,BD$13)="",10^12,OFFSET(PLE!$G$14,$M146,BD$13))))</f>
        <v>0</v>
      </c>
      <c r="BE146" s="182">
        <f ca="1">IF($D146&lt;&gt;"Serviço",0,IF(OR(AND(AUTOEVENTO="Manual",$M146=1),$M146&gt;(ROW(PLE.lastrow)-ROW(PLE.firstrow))),0,IF(OFFSET(PLE!$G$14,$M146,BE$13)="",10^12,OFFSET(PLE!$G$14,$M146,BE$13))))</f>
        <v>0</v>
      </c>
      <c r="BF146" s="182">
        <f ca="1">IF($D146&lt;&gt;"Serviço",0,IF(OR(AND(AUTOEVENTO="Manual",$M146=1),$M146&gt;(ROW(PLE.lastrow)-ROW(PLE.firstrow))),0,IF(OFFSET(PLE!$G$14,$M146,BF$13)="",10^12,OFFSET(PLE!$G$14,$M146,BF$13))))</f>
        <v>0</v>
      </c>
      <c r="BG146" s="182">
        <f ca="1">IF($D146&lt;&gt;"Serviço",0,IF(OR(AND(AUTOEVENTO="Manual",$M146=1),$M146&gt;(ROW(PLE.lastrow)-ROW(PLE.firstrow))),0,IF(OFFSET(PLE!$G$14,$M146,BG$13)="",10^12,OFFSET(PLE!$G$14,$M146,BG$13))))</f>
        <v>0</v>
      </c>
    </row>
    <row r="147" spans="1:59" ht="51" x14ac:dyDescent="0.2">
      <c r="A147" s="7" t="str">
        <f t="shared" ca="1" si="13"/>
        <v>131</v>
      </c>
      <c r="B147" s="7" t="str">
        <f ca="1">OFFSET(ORÇAMENTO!C$15,ROW(B147)-ROW(B$15),0)</f>
        <v>S</v>
      </c>
      <c r="C147" s="7" t="str">
        <f ca="1">OFFSET(ORÇAMENTO!L$15,ROW(C147)-ROW(C$15),0)</f>
        <v>F</v>
      </c>
      <c r="D147" s="118" t="str">
        <f ca="1">OFFSET(ORÇAMENTO!N$15,ROW(D147)-ROW(D$15),0)</f>
        <v>Serviço</v>
      </c>
      <c r="E147" s="119" t="str">
        <f ca="1">OFFSET(ORÇAMENTO!O$15,ROW(E147)-ROW(E$15),0)</f>
        <v>9.1.1.</v>
      </c>
      <c r="F147" s="172" t="str">
        <f ca="1">OFFSET(ORÇAMENTO!R$15,ROW(F147)-ROW(F$15),0)</f>
        <v>PLACA DE SINALIZACAO DE SEGURANCA CONTRA INCENDIO, FOTOLUMINESCENTE, RETANGULAR, *13 X 26* CM, EM PVC *2* MM ANTI-CHAMAS (SIMBOLOS, CORES E PICTOGRAMAS CONFORME NBR 16820)</v>
      </c>
      <c r="G147" s="173" t="str">
        <f ca="1">IF($D147&lt;&gt;"Serviço","",OFFSET(ORÇAMENTO!S$15,ROW(G147)-ROW(G$15),0))</f>
        <v>UN</v>
      </c>
      <c r="H147" s="124">
        <f ca="1">IF($D147&lt;&gt;"Serviço",0,IF(ACOMPANHAMENTO="BM",ROUND(OFFSET(ORÇAMENTO!AJ$15,ROW(H147)-ROW(H$15),0),15-13*ORÇAMENTO!$AF$7),SUMPRODUCT(($Q$12:$AA$12&lt;&gt;"")*ROUND($Q147:$AA147,15-13*ORÇAMENTO!$AF$7))))</f>
        <v>4</v>
      </c>
      <c r="I147" s="561"/>
      <c r="K147" s="174"/>
      <c r="L147" s="175" t="s">
        <v>255</v>
      </c>
      <c r="M147" s="176">
        <f ca="1">IF($D147&lt;&gt;"Serviço","",IF(AUTOEVENTO="manual",$A147,IF(ISERROR(MATCH($A147,$A$15:OFFSET($A147,-1,0),0)),MAX($M$15:OFFSET(M147,-1,0))+1,INDEX($M$15:OFFSET(M147,-1,0),MATCH($A147,$A$15:OFFSET($A147,-1,0),0)))))</f>
        <v>21</v>
      </c>
      <c r="N147" s="177" t="str">
        <f ca="1">IF($D147&lt;&gt;"Serviço","",IF(AUTOEVENTO="Manual",IF($A147=0,"&lt;-- defina o número do agrupador",OFFSET(EVENTOS!$D$14,$A147,0)),OFFSET($F$15,$A147,0)))</f>
        <v>PREVENTIVO DE INCENDIO</v>
      </c>
      <c r="O147" s="178"/>
      <c r="Q147" s="178"/>
      <c r="R147" s="179"/>
      <c r="S147" s="179"/>
      <c r="T147" s="179"/>
      <c r="U147" s="179"/>
      <c r="V147" s="179"/>
      <c r="W147" s="179"/>
      <c r="X147" s="179"/>
      <c r="Y147" s="179"/>
      <c r="Z147" s="180"/>
      <c r="AB147" s="544">
        <f ca="1">IF(AND($D147="Serviço",AB$12&lt;&gt;0,$H147&gt;0,OR(AUTOEVENTO&lt;&gt;"manual",$M147&lt;&gt;1)),
IF(Import.TipoArredondamento&lt;&gt;"TransfereGOV",
ROUND(OFFSET($P147,0,AB$13),15-13*ORÇAMENTO!$AF$7)/$H147*OFFSET(ORÇAMENTO!$X$15,ROW(AB147)-ROW(AB$15),0),
ROUND(ROUND(OFFSET($P147,0,AB$13),15-13*ORÇAMENTO!$AF$7)*OFFSET(ORÇAMENTO!$W$15,ROW(AB147)-ROW(AB$15),0),15-13*ORÇAMENTO!$AF$11)),0)</f>
        <v>0</v>
      </c>
      <c r="AC147" s="545">
        <f ca="1">IF(AND($D147="Serviço",AC$12&lt;&gt;0,$H147&gt;0,OR(AUTOEVENTO&lt;&gt;"manual",$M147&lt;&gt;1)),
IF(Import.TipoArredondamento&lt;&gt;"TransfereGOV",
ROUND(OFFSET($P147,0,AC$13),15-13*ORÇAMENTO!$AF$7)/$H147*OFFSET(ORÇAMENTO!$X$15,ROW(AC147)-ROW(AC$15),0),
ROUND(ROUND(OFFSET($P147,0,AC$13),15-13*ORÇAMENTO!$AF$7)*OFFSET(ORÇAMENTO!$W$15,ROW(AC147)-ROW(AC$15),0),15-13*ORÇAMENTO!$AF$11)),0)</f>
        <v>0</v>
      </c>
      <c r="AD147" s="545">
        <f ca="1">IF(AND($D147="Serviço",AD$12&lt;&gt;0,$H147&gt;0,OR(AUTOEVENTO&lt;&gt;"manual",$M147&lt;&gt;1)),
IF(Import.TipoArredondamento&lt;&gt;"TransfereGOV",
ROUND(OFFSET($P147,0,AD$13),15-13*ORÇAMENTO!$AF$7)/$H147*OFFSET(ORÇAMENTO!$X$15,ROW(AD147)-ROW(AD$15),0),
ROUND(ROUND(OFFSET($P147,0,AD$13),15-13*ORÇAMENTO!$AF$7)*OFFSET(ORÇAMENTO!$W$15,ROW(AD147)-ROW(AD$15),0),15-13*ORÇAMENTO!$AF$11)),0)</f>
        <v>0</v>
      </c>
      <c r="AE147" s="545">
        <f ca="1">IF(AND($D147="Serviço",AE$12&lt;&gt;0,$H147&gt;0,OR(AUTOEVENTO&lt;&gt;"manual",$M147&lt;&gt;1)),
IF(Import.TipoArredondamento&lt;&gt;"TransfereGOV",
ROUND(OFFSET($P147,0,AE$13),15-13*ORÇAMENTO!$AF$7)/$H147*OFFSET(ORÇAMENTO!$X$15,ROW(AE147)-ROW(AE$15),0),
ROUND(ROUND(OFFSET($P147,0,AE$13),15-13*ORÇAMENTO!$AF$7)*OFFSET(ORÇAMENTO!$W$15,ROW(AE147)-ROW(AE$15),0),15-13*ORÇAMENTO!$AF$11)),0)</f>
        <v>0</v>
      </c>
      <c r="AF147" s="545">
        <f ca="1">IF(AND($D147="Serviço",AF$12&lt;&gt;0,$H147&gt;0,OR(AUTOEVENTO&lt;&gt;"manual",$M147&lt;&gt;1)),
IF(Import.TipoArredondamento&lt;&gt;"TransfereGOV",
ROUND(OFFSET($P147,0,AF$13),15-13*ORÇAMENTO!$AF$7)/$H147*OFFSET(ORÇAMENTO!$X$15,ROW(AF147)-ROW(AF$15),0),
ROUND(ROUND(OFFSET($P147,0,AF$13),15-13*ORÇAMENTO!$AF$7)*OFFSET(ORÇAMENTO!$W$15,ROW(AF147)-ROW(AF$15),0),15-13*ORÇAMENTO!$AF$11)),0)</f>
        <v>0</v>
      </c>
      <c r="AG147" s="545">
        <f ca="1">IF(AND($D147="Serviço",AG$12&lt;&gt;0,$H147&gt;0,OR(AUTOEVENTO&lt;&gt;"manual",$M147&lt;&gt;1)),
IF(Import.TipoArredondamento&lt;&gt;"TransfereGOV",
ROUND(OFFSET($P147,0,AG$13),15-13*ORÇAMENTO!$AF$7)/$H147*OFFSET(ORÇAMENTO!$X$15,ROW(AG147)-ROW(AG$15),0),
ROUND(ROUND(OFFSET($P147,0,AG$13),15-13*ORÇAMENTO!$AF$7)*OFFSET(ORÇAMENTO!$W$15,ROW(AG147)-ROW(AG$15),0),15-13*ORÇAMENTO!$AF$11)),0)</f>
        <v>0</v>
      </c>
      <c r="AH147" s="545">
        <f ca="1">IF(AND($D147="Serviço",AH$12&lt;&gt;0,$H147&gt;0,OR(AUTOEVENTO&lt;&gt;"manual",$M147&lt;&gt;1)),
IF(Import.TipoArredondamento&lt;&gt;"TransfereGOV",
ROUND(OFFSET($P147,0,AH$13),15-13*ORÇAMENTO!$AF$7)/$H147*OFFSET(ORÇAMENTO!$X$15,ROW(AH147)-ROW(AH$15),0),
ROUND(ROUND(OFFSET($P147,0,AH$13),15-13*ORÇAMENTO!$AF$7)*OFFSET(ORÇAMENTO!$W$15,ROW(AH147)-ROW(AH$15),0),15-13*ORÇAMENTO!$AF$11)),0)</f>
        <v>0</v>
      </c>
      <c r="AI147" s="545">
        <f ca="1">IF(AND($D147="Serviço",AI$12&lt;&gt;0,$H147&gt;0,OR(AUTOEVENTO&lt;&gt;"manual",$M147&lt;&gt;1)),
IF(Import.TipoArredondamento&lt;&gt;"TransfereGOV",
ROUND(OFFSET($P147,0,AI$13),15-13*ORÇAMENTO!$AF$7)/$H147*OFFSET(ORÇAMENTO!$X$15,ROW(AI147)-ROW(AI$15),0),
ROUND(ROUND(OFFSET($P147,0,AI$13),15-13*ORÇAMENTO!$AF$7)*OFFSET(ORÇAMENTO!$W$15,ROW(AI147)-ROW(AI$15),0),15-13*ORÇAMENTO!$AF$11)),0)</f>
        <v>0</v>
      </c>
      <c r="AJ147" s="545">
        <f ca="1">IF(AND($D147="Serviço",AJ$12&lt;&gt;0,$H147&gt;0,OR(AUTOEVENTO&lt;&gt;"manual",$M147&lt;&gt;1)),
IF(Import.TipoArredondamento&lt;&gt;"TransfereGOV",
ROUND(OFFSET($P147,0,AJ$13),15-13*ORÇAMENTO!$AF$7)/$H147*OFFSET(ORÇAMENTO!$X$15,ROW(AJ147)-ROW(AJ$15),0),
ROUND(ROUND(OFFSET($P147,0,AJ$13),15-13*ORÇAMENTO!$AF$7)*OFFSET(ORÇAMENTO!$W$15,ROW(AJ147)-ROW(AJ$15),0),15-13*ORÇAMENTO!$AF$11)),0)</f>
        <v>0</v>
      </c>
      <c r="AK147" s="546">
        <f ca="1">IF(AND($D147="Serviço",AK$12&lt;&gt;0,$H147&gt;0,OR(AUTOEVENTO&lt;&gt;"manual",$M147&lt;&gt;1)),
IF(Import.TipoArredondamento&lt;&gt;"TransfereGOV",
ROUND(OFFSET($P147,0,AK$13),15-13*ORÇAMENTO!$AF$7)/$H147*OFFSET(ORÇAMENTO!$X$15,ROW(AK147)-ROW(AK$15),0),
ROUND(ROUND(OFFSET($P147,0,AK$13),15-13*ORÇAMENTO!$AF$7)*OFFSET(ORÇAMENTO!$W$15,ROW(AK147)-ROW(AK$15),0),15-13*ORÇAMENTO!$AF$11)),0)</f>
        <v>0</v>
      </c>
      <c r="AM147" s="181">
        <f ca="1">IF($D147&lt;&gt;"Serviço",0,IF(AND(AUTOEVENTO="Manual",$M147=1),0,IF(OFFSET(CRONOPLE!$F$14,$M147,AM$13)="",10^12,OFFSET(CRONOPLE!$F$14,$M147,AM$13))))</f>
        <v>1000000000000</v>
      </c>
      <c r="AN147" s="181">
        <f ca="1">IF($D147&lt;&gt;"Serviço",0,IF(AND(AUTOEVENTO="Manual",$M147=1),0,IF(OFFSET(CRONOPLE!$F$14,$M147,AN$13)="",10^12,OFFSET(CRONOPLE!$F$14,$M147,AN$13))))</f>
        <v>1000000000000</v>
      </c>
      <c r="AO147" s="181">
        <f ca="1">IF($D147&lt;&gt;"Serviço",0,IF(AND(AUTOEVENTO="Manual",$M147=1),0,IF(OFFSET(CRONOPLE!$F$14,$M147,AO$13)="",10^12,OFFSET(CRONOPLE!$F$14,$M147,AO$13))))</f>
        <v>1000000000000</v>
      </c>
      <c r="AP147" s="181">
        <f ca="1">IF($D147&lt;&gt;"Serviço",0,IF(AND(AUTOEVENTO="Manual",$M147=1),0,IF(OFFSET(CRONOPLE!$F$14,$M147,AP$13)="",10^12,OFFSET(CRONOPLE!$F$14,$M147,AP$13))))</f>
        <v>1000000000000</v>
      </c>
      <c r="AQ147" s="181">
        <f ca="1">IF($D147&lt;&gt;"Serviço",0,IF(AND(AUTOEVENTO="Manual",$M147=1),0,IF(OFFSET(CRONOPLE!$F$14,$M147,AQ$13)="",10^12,OFFSET(CRONOPLE!$F$14,$M147,AQ$13))))</f>
        <v>1000000000000</v>
      </c>
      <c r="AR147" s="181">
        <f ca="1">IF($D147&lt;&gt;"Serviço",0,IF(AND(AUTOEVENTO="Manual",$M147=1),0,IF(OFFSET(CRONOPLE!$F$14,$M147,AR$13)="",10^12,OFFSET(CRONOPLE!$F$14,$M147,AR$13))))</f>
        <v>1000000000000</v>
      </c>
      <c r="AS147" s="181">
        <f ca="1">IF($D147&lt;&gt;"Serviço",0,IF(AND(AUTOEVENTO="Manual",$M147=1),0,IF(OFFSET(CRONOPLE!$F$14,$M147,AS$13)="",10^12,OFFSET(CRONOPLE!$F$14,$M147,AS$13))))</f>
        <v>1000000000000</v>
      </c>
      <c r="AT147" s="181">
        <f ca="1">IF($D147&lt;&gt;"Serviço",0,IF(AND(AUTOEVENTO="Manual",$M147=1),0,IF(OFFSET(CRONOPLE!$F$14,$M147,AT$13)="",10^12,OFFSET(CRONOPLE!$F$14,$M147,AT$13))))</f>
        <v>1000000000000</v>
      </c>
      <c r="AU147" s="181">
        <f ca="1">IF($D147&lt;&gt;"Serviço",0,IF(AND(AUTOEVENTO="Manual",$M147=1),0,IF(OFFSET(CRONOPLE!$F$14,$M147,AU$13)="",10^12,OFFSET(CRONOPLE!$F$14,$M147,AU$13))))</f>
        <v>1000000000000</v>
      </c>
      <c r="AV147" s="181">
        <f ca="1">IF($D147&lt;&gt;"Serviço",0,IF(AND(AUTOEVENTO="Manual",$M147=1),0,IF(OFFSET(CRONOPLE!$F$14,$M147,AV$13)="",10^12,OFFSET(CRONOPLE!$F$14,$M147,AV$13))))</f>
        <v>1000000000000</v>
      </c>
      <c r="AX147" s="182">
        <f ca="1">IF($D147&lt;&gt;"Serviço",0,IF(OR(AND(AUTOEVENTO="Manual",$M147=1),$M147&gt;(ROW(PLE.lastrow)-ROW(PLE.firstrow))),0,IF(OFFSET(PLE!$G$14,$M147,AX$13)="",10^12,OFFSET(PLE!$G$14,$M147,AX$13))))</f>
        <v>1000000000000</v>
      </c>
      <c r="AY147" s="182">
        <f ca="1">IF($D147&lt;&gt;"Serviço",0,IF(OR(AND(AUTOEVENTO="Manual",$M147=1),$M147&gt;(ROW(PLE.lastrow)-ROW(PLE.firstrow))),0,IF(OFFSET(PLE!$G$14,$M147,AY$13)="",10^12,OFFSET(PLE!$G$14,$M147,AY$13))))</f>
        <v>1000000000000</v>
      </c>
      <c r="AZ147" s="182">
        <f ca="1">IF($D147&lt;&gt;"Serviço",0,IF(OR(AND(AUTOEVENTO="Manual",$M147=1),$M147&gt;(ROW(PLE.lastrow)-ROW(PLE.firstrow))),0,IF(OFFSET(PLE!$G$14,$M147,AZ$13)="",10^12,OFFSET(PLE!$G$14,$M147,AZ$13))))</f>
        <v>1000000000000</v>
      </c>
      <c r="BA147" s="182">
        <f ca="1">IF($D147&lt;&gt;"Serviço",0,IF(OR(AND(AUTOEVENTO="Manual",$M147=1),$M147&gt;(ROW(PLE.lastrow)-ROW(PLE.firstrow))),0,IF(OFFSET(PLE!$G$14,$M147,BA$13)="",10^12,OFFSET(PLE!$G$14,$M147,BA$13))))</f>
        <v>1000000000000</v>
      </c>
      <c r="BB147" s="182">
        <f ca="1">IF($D147&lt;&gt;"Serviço",0,IF(OR(AND(AUTOEVENTO="Manual",$M147=1),$M147&gt;(ROW(PLE.lastrow)-ROW(PLE.firstrow))),0,IF(OFFSET(PLE!$G$14,$M147,BB$13)="",10^12,OFFSET(PLE!$G$14,$M147,BB$13))))</f>
        <v>1000000000000</v>
      </c>
      <c r="BC147" s="182">
        <f ca="1">IF($D147&lt;&gt;"Serviço",0,IF(OR(AND(AUTOEVENTO="Manual",$M147=1),$M147&gt;(ROW(PLE.lastrow)-ROW(PLE.firstrow))),0,IF(OFFSET(PLE!$G$14,$M147,BC$13)="",10^12,OFFSET(PLE!$G$14,$M147,BC$13))))</f>
        <v>1000000000000</v>
      </c>
      <c r="BD147" s="182">
        <f ca="1">IF($D147&lt;&gt;"Serviço",0,IF(OR(AND(AUTOEVENTO="Manual",$M147=1),$M147&gt;(ROW(PLE.lastrow)-ROW(PLE.firstrow))),0,IF(OFFSET(PLE!$G$14,$M147,BD$13)="",10^12,OFFSET(PLE!$G$14,$M147,BD$13))))</f>
        <v>1000000000000</v>
      </c>
      <c r="BE147" s="182">
        <f ca="1">IF($D147&lt;&gt;"Serviço",0,IF(OR(AND(AUTOEVENTO="Manual",$M147=1),$M147&gt;(ROW(PLE.lastrow)-ROW(PLE.firstrow))),0,IF(OFFSET(PLE!$G$14,$M147,BE$13)="",10^12,OFFSET(PLE!$G$14,$M147,BE$13))))</f>
        <v>1000000000000</v>
      </c>
      <c r="BF147" s="182">
        <f ca="1">IF($D147&lt;&gt;"Serviço",0,IF(OR(AND(AUTOEVENTO="Manual",$M147=1),$M147&gt;(ROW(PLE.lastrow)-ROW(PLE.firstrow))),0,IF(OFFSET(PLE!$G$14,$M147,BF$13)="",10^12,OFFSET(PLE!$G$14,$M147,BF$13))))</f>
        <v>1000000000000</v>
      </c>
      <c r="BG147" s="182">
        <f ca="1">IF($D147&lt;&gt;"Serviço",0,IF(OR(AND(AUTOEVENTO="Manual",$M147=1),$M147&gt;(ROW(PLE.lastrow)-ROW(PLE.firstrow))),0,IF(OFFSET(PLE!$G$14,$M147,BG$13)="",10^12,OFFSET(PLE!$G$14,$M147,BG$13))))</f>
        <v>1000000000000</v>
      </c>
    </row>
    <row r="148" spans="1:59" ht="25.5" x14ac:dyDescent="0.2">
      <c r="A148" s="7" t="str">
        <f t="shared" ca="1" si="13"/>
        <v>131</v>
      </c>
      <c r="B148" s="7" t="str">
        <f ca="1">OFFSET(ORÇAMENTO!C$15,ROW(B148)-ROW(B$15),0)</f>
        <v>S</v>
      </c>
      <c r="C148" s="7" t="str">
        <f ca="1">OFFSET(ORÇAMENTO!L$15,ROW(C148)-ROW(C$15),0)</f>
        <v>F</v>
      </c>
      <c r="D148" s="118" t="str">
        <f ca="1">OFFSET(ORÇAMENTO!N$15,ROW(D148)-ROW(D$15),0)</f>
        <v>Serviço</v>
      </c>
      <c r="E148" s="119" t="str">
        <f ca="1">OFFSET(ORÇAMENTO!O$15,ROW(E148)-ROW(E$15),0)</f>
        <v>9.1.2.</v>
      </c>
      <c r="F148" s="172" t="str">
        <f ca="1">OFFSET(ORÇAMENTO!R$15,ROW(F148)-ROW(F$15),0)</f>
        <v>EXTINTOR DE INCENDIO PORTATIL COM CARGA DE PO QUIMICO SECO (PQS) DE 4 KG, CLASSE BC</v>
      </c>
      <c r="G148" s="173" t="str">
        <f ca="1">IF($D148&lt;&gt;"Serviço","",OFFSET(ORÇAMENTO!S$15,ROW(G148)-ROW(G$15),0))</f>
        <v>UN</v>
      </c>
      <c r="H148" s="124">
        <f ca="1">IF($D148&lt;&gt;"Serviço",0,IF(ACOMPANHAMENTO="BM",ROUND(OFFSET(ORÇAMENTO!AJ$15,ROW(H148)-ROW(H$15),0),15-13*ORÇAMENTO!$AF$7),SUMPRODUCT(($Q$12:$AA$12&lt;&gt;"")*ROUND($Q148:$AA148,15-13*ORÇAMENTO!$AF$7))))</f>
        <v>2</v>
      </c>
      <c r="I148" s="561"/>
      <c r="K148" s="174"/>
      <c r="L148" s="175" t="s">
        <v>255</v>
      </c>
      <c r="M148" s="176">
        <f ca="1">IF($D148&lt;&gt;"Serviço","",IF(AUTOEVENTO="manual",$A148,IF(ISERROR(MATCH($A148,$A$15:OFFSET($A148,-1,0),0)),MAX($M$15:OFFSET(M148,-1,0))+1,INDEX($M$15:OFFSET(M148,-1,0),MATCH($A148,$A$15:OFFSET($A148,-1,0),0)))))</f>
        <v>21</v>
      </c>
      <c r="N148" s="177" t="str">
        <f ca="1">IF($D148&lt;&gt;"Serviço","",IF(AUTOEVENTO="Manual",IF($A148=0,"&lt;-- defina o número do agrupador",OFFSET(EVENTOS!$D$14,$A148,0)),OFFSET($F$15,$A148,0)))</f>
        <v>PREVENTIVO DE INCENDIO</v>
      </c>
      <c r="O148" s="178"/>
      <c r="Q148" s="178"/>
      <c r="R148" s="179"/>
      <c r="S148" s="179"/>
      <c r="T148" s="179"/>
      <c r="U148" s="179"/>
      <c r="V148" s="179"/>
      <c r="W148" s="179"/>
      <c r="X148" s="179"/>
      <c r="Y148" s="179"/>
      <c r="Z148" s="180"/>
      <c r="AB148" s="544">
        <f ca="1">IF(AND($D148="Serviço",AB$12&lt;&gt;0,$H148&gt;0,OR(AUTOEVENTO&lt;&gt;"manual",$M148&lt;&gt;1)),
IF(Import.TipoArredondamento&lt;&gt;"TransfereGOV",
ROUND(OFFSET($P148,0,AB$13),15-13*ORÇAMENTO!$AF$7)/$H148*OFFSET(ORÇAMENTO!$X$15,ROW(AB148)-ROW(AB$15),0),
ROUND(ROUND(OFFSET($P148,0,AB$13),15-13*ORÇAMENTO!$AF$7)*OFFSET(ORÇAMENTO!$W$15,ROW(AB148)-ROW(AB$15),0),15-13*ORÇAMENTO!$AF$11)),0)</f>
        <v>0</v>
      </c>
      <c r="AC148" s="545">
        <f ca="1">IF(AND($D148="Serviço",AC$12&lt;&gt;0,$H148&gt;0,OR(AUTOEVENTO&lt;&gt;"manual",$M148&lt;&gt;1)),
IF(Import.TipoArredondamento&lt;&gt;"TransfereGOV",
ROUND(OFFSET($P148,0,AC$13),15-13*ORÇAMENTO!$AF$7)/$H148*OFFSET(ORÇAMENTO!$X$15,ROW(AC148)-ROW(AC$15),0),
ROUND(ROUND(OFFSET($P148,0,AC$13),15-13*ORÇAMENTO!$AF$7)*OFFSET(ORÇAMENTO!$W$15,ROW(AC148)-ROW(AC$15),0),15-13*ORÇAMENTO!$AF$11)),0)</f>
        <v>0</v>
      </c>
      <c r="AD148" s="545">
        <f ca="1">IF(AND($D148="Serviço",AD$12&lt;&gt;0,$H148&gt;0,OR(AUTOEVENTO&lt;&gt;"manual",$M148&lt;&gt;1)),
IF(Import.TipoArredondamento&lt;&gt;"TransfereGOV",
ROUND(OFFSET($P148,0,AD$13),15-13*ORÇAMENTO!$AF$7)/$H148*OFFSET(ORÇAMENTO!$X$15,ROW(AD148)-ROW(AD$15),0),
ROUND(ROUND(OFFSET($P148,0,AD$13),15-13*ORÇAMENTO!$AF$7)*OFFSET(ORÇAMENTO!$W$15,ROW(AD148)-ROW(AD$15),0),15-13*ORÇAMENTO!$AF$11)),0)</f>
        <v>0</v>
      </c>
      <c r="AE148" s="545">
        <f ca="1">IF(AND($D148="Serviço",AE$12&lt;&gt;0,$H148&gt;0,OR(AUTOEVENTO&lt;&gt;"manual",$M148&lt;&gt;1)),
IF(Import.TipoArredondamento&lt;&gt;"TransfereGOV",
ROUND(OFFSET($P148,0,AE$13),15-13*ORÇAMENTO!$AF$7)/$H148*OFFSET(ORÇAMENTO!$X$15,ROW(AE148)-ROW(AE$15),0),
ROUND(ROUND(OFFSET($P148,0,AE$13),15-13*ORÇAMENTO!$AF$7)*OFFSET(ORÇAMENTO!$W$15,ROW(AE148)-ROW(AE$15),0),15-13*ORÇAMENTO!$AF$11)),0)</f>
        <v>0</v>
      </c>
      <c r="AF148" s="545">
        <f ca="1">IF(AND($D148="Serviço",AF$12&lt;&gt;0,$H148&gt;0,OR(AUTOEVENTO&lt;&gt;"manual",$M148&lt;&gt;1)),
IF(Import.TipoArredondamento&lt;&gt;"TransfereGOV",
ROUND(OFFSET($P148,0,AF$13),15-13*ORÇAMENTO!$AF$7)/$H148*OFFSET(ORÇAMENTO!$X$15,ROW(AF148)-ROW(AF$15),0),
ROUND(ROUND(OFFSET($P148,0,AF$13),15-13*ORÇAMENTO!$AF$7)*OFFSET(ORÇAMENTO!$W$15,ROW(AF148)-ROW(AF$15),0),15-13*ORÇAMENTO!$AF$11)),0)</f>
        <v>0</v>
      </c>
      <c r="AG148" s="545">
        <f ca="1">IF(AND($D148="Serviço",AG$12&lt;&gt;0,$H148&gt;0,OR(AUTOEVENTO&lt;&gt;"manual",$M148&lt;&gt;1)),
IF(Import.TipoArredondamento&lt;&gt;"TransfereGOV",
ROUND(OFFSET($P148,0,AG$13),15-13*ORÇAMENTO!$AF$7)/$H148*OFFSET(ORÇAMENTO!$X$15,ROW(AG148)-ROW(AG$15),0),
ROUND(ROUND(OFFSET($P148,0,AG$13),15-13*ORÇAMENTO!$AF$7)*OFFSET(ORÇAMENTO!$W$15,ROW(AG148)-ROW(AG$15),0),15-13*ORÇAMENTO!$AF$11)),0)</f>
        <v>0</v>
      </c>
      <c r="AH148" s="545">
        <f ca="1">IF(AND($D148="Serviço",AH$12&lt;&gt;0,$H148&gt;0,OR(AUTOEVENTO&lt;&gt;"manual",$M148&lt;&gt;1)),
IF(Import.TipoArredondamento&lt;&gt;"TransfereGOV",
ROUND(OFFSET($P148,0,AH$13),15-13*ORÇAMENTO!$AF$7)/$H148*OFFSET(ORÇAMENTO!$X$15,ROW(AH148)-ROW(AH$15),0),
ROUND(ROUND(OFFSET($P148,0,AH$13),15-13*ORÇAMENTO!$AF$7)*OFFSET(ORÇAMENTO!$W$15,ROW(AH148)-ROW(AH$15),0),15-13*ORÇAMENTO!$AF$11)),0)</f>
        <v>0</v>
      </c>
      <c r="AI148" s="545">
        <f ca="1">IF(AND($D148="Serviço",AI$12&lt;&gt;0,$H148&gt;0,OR(AUTOEVENTO&lt;&gt;"manual",$M148&lt;&gt;1)),
IF(Import.TipoArredondamento&lt;&gt;"TransfereGOV",
ROUND(OFFSET($P148,0,AI$13),15-13*ORÇAMENTO!$AF$7)/$H148*OFFSET(ORÇAMENTO!$X$15,ROW(AI148)-ROW(AI$15),0),
ROUND(ROUND(OFFSET($P148,0,AI$13),15-13*ORÇAMENTO!$AF$7)*OFFSET(ORÇAMENTO!$W$15,ROW(AI148)-ROW(AI$15),0),15-13*ORÇAMENTO!$AF$11)),0)</f>
        <v>0</v>
      </c>
      <c r="AJ148" s="545">
        <f ca="1">IF(AND($D148="Serviço",AJ$12&lt;&gt;0,$H148&gt;0,OR(AUTOEVENTO&lt;&gt;"manual",$M148&lt;&gt;1)),
IF(Import.TipoArredondamento&lt;&gt;"TransfereGOV",
ROUND(OFFSET($P148,0,AJ$13),15-13*ORÇAMENTO!$AF$7)/$H148*OFFSET(ORÇAMENTO!$X$15,ROW(AJ148)-ROW(AJ$15),0),
ROUND(ROUND(OFFSET($P148,0,AJ$13),15-13*ORÇAMENTO!$AF$7)*OFFSET(ORÇAMENTO!$W$15,ROW(AJ148)-ROW(AJ$15),0),15-13*ORÇAMENTO!$AF$11)),0)</f>
        <v>0</v>
      </c>
      <c r="AK148" s="546">
        <f ca="1">IF(AND($D148="Serviço",AK$12&lt;&gt;0,$H148&gt;0,OR(AUTOEVENTO&lt;&gt;"manual",$M148&lt;&gt;1)),
IF(Import.TipoArredondamento&lt;&gt;"TransfereGOV",
ROUND(OFFSET($P148,0,AK$13),15-13*ORÇAMENTO!$AF$7)/$H148*OFFSET(ORÇAMENTO!$X$15,ROW(AK148)-ROW(AK$15),0),
ROUND(ROUND(OFFSET($P148,0,AK$13),15-13*ORÇAMENTO!$AF$7)*OFFSET(ORÇAMENTO!$W$15,ROW(AK148)-ROW(AK$15),0),15-13*ORÇAMENTO!$AF$11)),0)</f>
        <v>0</v>
      </c>
      <c r="AM148" s="181">
        <f ca="1">IF($D148&lt;&gt;"Serviço",0,IF(AND(AUTOEVENTO="Manual",$M148=1),0,IF(OFFSET(CRONOPLE!$F$14,$M148,AM$13)="",10^12,OFFSET(CRONOPLE!$F$14,$M148,AM$13))))</f>
        <v>1000000000000</v>
      </c>
      <c r="AN148" s="181">
        <f ca="1">IF($D148&lt;&gt;"Serviço",0,IF(AND(AUTOEVENTO="Manual",$M148=1),0,IF(OFFSET(CRONOPLE!$F$14,$M148,AN$13)="",10^12,OFFSET(CRONOPLE!$F$14,$M148,AN$13))))</f>
        <v>1000000000000</v>
      </c>
      <c r="AO148" s="181">
        <f ca="1">IF($D148&lt;&gt;"Serviço",0,IF(AND(AUTOEVENTO="Manual",$M148=1),0,IF(OFFSET(CRONOPLE!$F$14,$M148,AO$13)="",10^12,OFFSET(CRONOPLE!$F$14,$M148,AO$13))))</f>
        <v>1000000000000</v>
      </c>
      <c r="AP148" s="181">
        <f ca="1">IF($D148&lt;&gt;"Serviço",0,IF(AND(AUTOEVENTO="Manual",$M148=1),0,IF(OFFSET(CRONOPLE!$F$14,$M148,AP$13)="",10^12,OFFSET(CRONOPLE!$F$14,$M148,AP$13))))</f>
        <v>1000000000000</v>
      </c>
      <c r="AQ148" s="181">
        <f ca="1">IF($D148&lt;&gt;"Serviço",0,IF(AND(AUTOEVENTO="Manual",$M148=1),0,IF(OFFSET(CRONOPLE!$F$14,$M148,AQ$13)="",10^12,OFFSET(CRONOPLE!$F$14,$M148,AQ$13))))</f>
        <v>1000000000000</v>
      </c>
      <c r="AR148" s="181">
        <f ca="1">IF($D148&lt;&gt;"Serviço",0,IF(AND(AUTOEVENTO="Manual",$M148=1),0,IF(OFFSET(CRONOPLE!$F$14,$M148,AR$13)="",10^12,OFFSET(CRONOPLE!$F$14,$M148,AR$13))))</f>
        <v>1000000000000</v>
      </c>
      <c r="AS148" s="181">
        <f ca="1">IF($D148&lt;&gt;"Serviço",0,IF(AND(AUTOEVENTO="Manual",$M148=1),0,IF(OFFSET(CRONOPLE!$F$14,$M148,AS$13)="",10^12,OFFSET(CRONOPLE!$F$14,$M148,AS$13))))</f>
        <v>1000000000000</v>
      </c>
      <c r="AT148" s="181">
        <f ca="1">IF($D148&lt;&gt;"Serviço",0,IF(AND(AUTOEVENTO="Manual",$M148=1),0,IF(OFFSET(CRONOPLE!$F$14,$M148,AT$13)="",10^12,OFFSET(CRONOPLE!$F$14,$M148,AT$13))))</f>
        <v>1000000000000</v>
      </c>
      <c r="AU148" s="181">
        <f ca="1">IF($D148&lt;&gt;"Serviço",0,IF(AND(AUTOEVENTO="Manual",$M148=1),0,IF(OFFSET(CRONOPLE!$F$14,$M148,AU$13)="",10^12,OFFSET(CRONOPLE!$F$14,$M148,AU$13))))</f>
        <v>1000000000000</v>
      </c>
      <c r="AV148" s="181">
        <f ca="1">IF($D148&lt;&gt;"Serviço",0,IF(AND(AUTOEVENTO="Manual",$M148=1),0,IF(OFFSET(CRONOPLE!$F$14,$M148,AV$13)="",10^12,OFFSET(CRONOPLE!$F$14,$M148,AV$13))))</f>
        <v>1000000000000</v>
      </c>
      <c r="AX148" s="182">
        <f ca="1">IF($D148&lt;&gt;"Serviço",0,IF(OR(AND(AUTOEVENTO="Manual",$M148=1),$M148&gt;(ROW(PLE.lastrow)-ROW(PLE.firstrow))),0,IF(OFFSET(PLE!$G$14,$M148,AX$13)="",10^12,OFFSET(PLE!$G$14,$M148,AX$13))))</f>
        <v>1000000000000</v>
      </c>
      <c r="AY148" s="182">
        <f ca="1">IF($D148&lt;&gt;"Serviço",0,IF(OR(AND(AUTOEVENTO="Manual",$M148=1),$M148&gt;(ROW(PLE.lastrow)-ROW(PLE.firstrow))),0,IF(OFFSET(PLE!$G$14,$M148,AY$13)="",10^12,OFFSET(PLE!$G$14,$M148,AY$13))))</f>
        <v>1000000000000</v>
      </c>
      <c r="AZ148" s="182">
        <f ca="1">IF($D148&lt;&gt;"Serviço",0,IF(OR(AND(AUTOEVENTO="Manual",$M148=1),$M148&gt;(ROW(PLE.lastrow)-ROW(PLE.firstrow))),0,IF(OFFSET(PLE!$G$14,$M148,AZ$13)="",10^12,OFFSET(PLE!$G$14,$M148,AZ$13))))</f>
        <v>1000000000000</v>
      </c>
      <c r="BA148" s="182">
        <f ca="1">IF($D148&lt;&gt;"Serviço",0,IF(OR(AND(AUTOEVENTO="Manual",$M148=1),$M148&gt;(ROW(PLE.lastrow)-ROW(PLE.firstrow))),0,IF(OFFSET(PLE!$G$14,$M148,BA$13)="",10^12,OFFSET(PLE!$G$14,$M148,BA$13))))</f>
        <v>1000000000000</v>
      </c>
      <c r="BB148" s="182">
        <f ca="1">IF($D148&lt;&gt;"Serviço",0,IF(OR(AND(AUTOEVENTO="Manual",$M148=1),$M148&gt;(ROW(PLE.lastrow)-ROW(PLE.firstrow))),0,IF(OFFSET(PLE!$G$14,$M148,BB$13)="",10^12,OFFSET(PLE!$G$14,$M148,BB$13))))</f>
        <v>1000000000000</v>
      </c>
      <c r="BC148" s="182">
        <f ca="1">IF($D148&lt;&gt;"Serviço",0,IF(OR(AND(AUTOEVENTO="Manual",$M148=1),$M148&gt;(ROW(PLE.lastrow)-ROW(PLE.firstrow))),0,IF(OFFSET(PLE!$G$14,$M148,BC$13)="",10^12,OFFSET(PLE!$G$14,$M148,BC$13))))</f>
        <v>1000000000000</v>
      </c>
      <c r="BD148" s="182">
        <f ca="1">IF($D148&lt;&gt;"Serviço",0,IF(OR(AND(AUTOEVENTO="Manual",$M148=1),$M148&gt;(ROW(PLE.lastrow)-ROW(PLE.firstrow))),0,IF(OFFSET(PLE!$G$14,$M148,BD$13)="",10^12,OFFSET(PLE!$G$14,$M148,BD$13))))</f>
        <v>1000000000000</v>
      </c>
      <c r="BE148" s="182">
        <f ca="1">IF($D148&lt;&gt;"Serviço",0,IF(OR(AND(AUTOEVENTO="Manual",$M148=1),$M148&gt;(ROW(PLE.lastrow)-ROW(PLE.firstrow))),0,IF(OFFSET(PLE!$G$14,$M148,BE$13)="",10^12,OFFSET(PLE!$G$14,$M148,BE$13))))</f>
        <v>1000000000000</v>
      </c>
      <c r="BF148" s="182">
        <f ca="1">IF($D148&lt;&gt;"Serviço",0,IF(OR(AND(AUTOEVENTO="Manual",$M148=1),$M148&gt;(ROW(PLE.lastrow)-ROW(PLE.firstrow))),0,IF(OFFSET(PLE!$G$14,$M148,BF$13)="",10^12,OFFSET(PLE!$G$14,$M148,BF$13))))</f>
        <v>1000000000000</v>
      </c>
      <c r="BG148" s="182">
        <f ca="1">IF($D148&lt;&gt;"Serviço",0,IF(OR(AND(AUTOEVENTO="Manual",$M148=1),$M148&gt;(ROW(PLE.lastrow)-ROW(PLE.firstrow))),0,IF(OFFSET(PLE!$G$14,$M148,BG$13)="",10^12,OFFSET(PLE!$G$14,$M148,BG$13))))</f>
        <v>1000000000000</v>
      </c>
    </row>
    <row r="149" spans="1:59" ht="25.5" x14ac:dyDescent="0.2">
      <c r="A149" s="7" t="str">
        <f t="shared" ca="1" si="13"/>
        <v>131</v>
      </c>
      <c r="B149" s="7" t="str">
        <f ca="1">OFFSET(ORÇAMENTO!C$15,ROW(B149)-ROW(B$15),0)</f>
        <v>S</v>
      </c>
      <c r="C149" s="7" t="str">
        <f ca="1">OFFSET(ORÇAMENTO!L$15,ROW(C149)-ROW(C$15),0)</f>
        <v>F</v>
      </c>
      <c r="D149" s="118" t="str">
        <f ca="1">OFFSET(ORÇAMENTO!N$15,ROW(D149)-ROW(D$15),0)</f>
        <v>Serviço</v>
      </c>
      <c r="E149" s="119" t="str">
        <f ca="1">OFFSET(ORÇAMENTO!O$15,ROW(E149)-ROW(E$15),0)</f>
        <v>9.1.3.</v>
      </c>
      <c r="F149" s="172" t="str">
        <f ca="1">OFFSET(ORÇAMENTO!R$15,ROW(F149)-ROW(F$15),0)</f>
        <v>LUMINARIA DE EMERGENCIA 30 LEDS, POTENCIA 2 W, BATERIA DE LITIO, AUTONOMIA DE 6 HORAS</v>
      </c>
      <c r="G149" s="173" t="str">
        <f ca="1">IF($D149&lt;&gt;"Serviço","",OFFSET(ORÇAMENTO!S$15,ROW(G149)-ROW(G$15),0))</f>
        <v>UN</v>
      </c>
      <c r="H149" s="124">
        <f ca="1">IF($D149&lt;&gt;"Serviço",0,IF(ACOMPANHAMENTO="BM",ROUND(OFFSET(ORÇAMENTO!AJ$15,ROW(H149)-ROW(H$15),0),15-13*ORÇAMENTO!$AF$7),SUMPRODUCT(($Q$12:$AA$12&lt;&gt;"")*ROUND($Q149:$AA149,15-13*ORÇAMENTO!$AF$7))))</f>
        <v>6</v>
      </c>
      <c r="I149" s="561"/>
      <c r="K149" s="174"/>
      <c r="L149" s="175" t="s">
        <v>255</v>
      </c>
      <c r="M149" s="176">
        <f ca="1">IF($D149&lt;&gt;"Serviço","",IF(AUTOEVENTO="manual",$A149,IF(ISERROR(MATCH($A149,$A$15:OFFSET($A149,-1,0),0)),MAX($M$15:OFFSET(M149,-1,0))+1,INDEX($M$15:OFFSET(M149,-1,0),MATCH($A149,$A$15:OFFSET($A149,-1,0),0)))))</f>
        <v>21</v>
      </c>
      <c r="N149" s="177" t="str">
        <f ca="1">IF($D149&lt;&gt;"Serviço","",IF(AUTOEVENTO="Manual",IF($A149=0,"&lt;-- defina o número do agrupador",OFFSET(EVENTOS!$D$14,$A149,0)),OFFSET($F$15,$A149,0)))</f>
        <v>PREVENTIVO DE INCENDIO</v>
      </c>
      <c r="O149" s="178"/>
      <c r="Q149" s="178"/>
      <c r="R149" s="179"/>
      <c r="S149" s="179"/>
      <c r="T149" s="179"/>
      <c r="U149" s="179"/>
      <c r="V149" s="179"/>
      <c r="W149" s="179"/>
      <c r="X149" s="179"/>
      <c r="Y149" s="179"/>
      <c r="Z149" s="180"/>
      <c r="AB149" s="544">
        <f ca="1">IF(AND($D149="Serviço",AB$12&lt;&gt;0,$H149&gt;0,OR(AUTOEVENTO&lt;&gt;"manual",$M149&lt;&gt;1)),
IF(Import.TipoArredondamento&lt;&gt;"TransfereGOV",
ROUND(OFFSET($P149,0,AB$13),15-13*ORÇAMENTO!$AF$7)/$H149*OFFSET(ORÇAMENTO!$X$15,ROW(AB149)-ROW(AB$15),0),
ROUND(ROUND(OFFSET($P149,0,AB$13),15-13*ORÇAMENTO!$AF$7)*OFFSET(ORÇAMENTO!$W$15,ROW(AB149)-ROW(AB$15),0),15-13*ORÇAMENTO!$AF$11)),0)</f>
        <v>0</v>
      </c>
      <c r="AC149" s="545">
        <f ca="1">IF(AND($D149="Serviço",AC$12&lt;&gt;0,$H149&gt;0,OR(AUTOEVENTO&lt;&gt;"manual",$M149&lt;&gt;1)),
IF(Import.TipoArredondamento&lt;&gt;"TransfereGOV",
ROUND(OFFSET($P149,0,AC$13),15-13*ORÇAMENTO!$AF$7)/$H149*OFFSET(ORÇAMENTO!$X$15,ROW(AC149)-ROW(AC$15),0),
ROUND(ROUND(OFFSET($P149,0,AC$13),15-13*ORÇAMENTO!$AF$7)*OFFSET(ORÇAMENTO!$W$15,ROW(AC149)-ROW(AC$15),0),15-13*ORÇAMENTO!$AF$11)),0)</f>
        <v>0</v>
      </c>
      <c r="AD149" s="545">
        <f ca="1">IF(AND($D149="Serviço",AD$12&lt;&gt;0,$H149&gt;0,OR(AUTOEVENTO&lt;&gt;"manual",$M149&lt;&gt;1)),
IF(Import.TipoArredondamento&lt;&gt;"TransfereGOV",
ROUND(OFFSET($P149,0,AD$13),15-13*ORÇAMENTO!$AF$7)/$H149*OFFSET(ORÇAMENTO!$X$15,ROW(AD149)-ROW(AD$15),0),
ROUND(ROUND(OFFSET($P149,0,AD$13),15-13*ORÇAMENTO!$AF$7)*OFFSET(ORÇAMENTO!$W$15,ROW(AD149)-ROW(AD$15),0),15-13*ORÇAMENTO!$AF$11)),0)</f>
        <v>0</v>
      </c>
      <c r="AE149" s="545">
        <f ca="1">IF(AND($D149="Serviço",AE$12&lt;&gt;0,$H149&gt;0,OR(AUTOEVENTO&lt;&gt;"manual",$M149&lt;&gt;1)),
IF(Import.TipoArredondamento&lt;&gt;"TransfereGOV",
ROUND(OFFSET($P149,0,AE$13),15-13*ORÇAMENTO!$AF$7)/$H149*OFFSET(ORÇAMENTO!$X$15,ROW(AE149)-ROW(AE$15),0),
ROUND(ROUND(OFFSET($P149,0,AE$13),15-13*ORÇAMENTO!$AF$7)*OFFSET(ORÇAMENTO!$W$15,ROW(AE149)-ROW(AE$15),0),15-13*ORÇAMENTO!$AF$11)),0)</f>
        <v>0</v>
      </c>
      <c r="AF149" s="545">
        <f ca="1">IF(AND($D149="Serviço",AF$12&lt;&gt;0,$H149&gt;0,OR(AUTOEVENTO&lt;&gt;"manual",$M149&lt;&gt;1)),
IF(Import.TipoArredondamento&lt;&gt;"TransfereGOV",
ROUND(OFFSET($P149,0,AF$13),15-13*ORÇAMENTO!$AF$7)/$H149*OFFSET(ORÇAMENTO!$X$15,ROW(AF149)-ROW(AF$15),0),
ROUND(ROUND(OFFSET($P149,0,AF$13),15-13*ORÇAMENTO!$AF$7)*OFFSET(ORÇAMENTO!$W$15,ROW(AF149)-ROW(AF$15),0),15-13*ORÇAMENTO!$AF$11)),0)</f>
        <v>0</v>
      </c>
      <c r="AG149" s="545">
        <f ca="1">IF(AND($D149="Serviço",AG$12&lt;&gt;0,$H149&gt;0,OR(AUTOEVENTO&lt;&gt;"manual",$M149&lt;&gt;1)),
IF(Import.TipoArredondamento&lt;&gt;"TransfereGOV",
ROUND(OFFSET($P149,0,AG$13),15-13*ORÇAMENTO!$AF$7)/$H149*OFFSET(ORÇAMENTO!$X$15,ROW(AG149)-ROW(AG$15),0),
ROUND(ROUND(OFFSET($P149,0,AG$13),15-13*ORÇAMENTO!$AF$7)*OFFSET(ORÇAMENTO!$W$15,ROW(AG149)-ROW(AG$15),0),15-13*ORÇAMENTO!$AF$11)),0)</f>
        <v>0</v>
      </c>
      <c r="AH149" s="545">
        <f ca="1">IF(AND($D149="Serviço",AH$12&lt;&gt;0,$H149&gt;0,OR(AUTOEVENTO&lt;&gt;"manual",$M149&lt;&gt;1)),
IF(Import.TipoArredondamento&lt;&gt;"TransfereGOV",
ROUND(OFFSET($P149,0,AH$13),15-13*ORÇAMENTO!$AF$7)/$H149*OFFSET(ORÇAMENTO!$X$15,ROW(AH149)-ROW(AH$15),0),
ROUND(ROUND(OFFSET($P149,0,AH$13),15-13*ORÇAMENTO!$AF$7)*OFFSET(ORÇAMENTO!$W$15,ROW(AH149)-ROW(AH$15),0),15-13*ORÇAMENTO!$AF$11)),0)</f>
        <v>0</v>
      </c>
      <c r="AI149" s="545">
        <f ca="1">IF(AND($D149="Serviço",AI$12&lt;&gt;0,$H149&gt;0,OR(AUTOEVENTO&lt;&gt;"manual",$M149&lt;&gt;1)),
IF(Import.TipoArredondamento&lt;&gt;"TransfereGOV",
ROUND(OFFSET($P149,0,AI$13),15-13*ORÇAMENTO!$AF$7)/$H149*OFFSET(ORÇAMENTO!$X$15,ROW(AI149)-ROW(AI$15),0),
ROUND(ROUND(OFFSET($P149,0,AI$13),15-13*ORÇAMENTO!$AF$7)*OFFSET(ORÇAMENTO!$W$15,ROW(AI149)-ROW(AI$15),0),15-13*ORÇAMENTO!$AF$11)),0)</f>
        <v>0</v>
      </c>
      <c r="AJ149" s="545">
        <f ca="1">IF(AND($D149="Serviço",AJ$12&lt;&gt;0,$H149&gt;0,OR(AUTOEVENTO&lt;&gt;"manual",$M149&lt;&gt;1)),
IF(Import.TipoArredondamento&lt;&gt;"TransfereGOV",
ROUND(OFFSET($P149,0,AJ$13),15-13*ORÇAMENTO!$AF$7)/$H149*OFFSET(ORÇAMENTO!$X$15,ROW(AJ149)-ROW(AJ$15),0),
ROUND(ROUND(OFFSET($P149,0,AJ$13),15-13*ORÇAMENTO!$AF$7)*OFFSET(ORÇAMENTO!$W$15,ROW(AJ149)-ROW(AJ$15),0),15-13*ORÇAMENTO!$AF$11)),0)</f>
        <v>0</v>
      </c>
      <c r="AK149" s="546">
        <f ca="1">IF(AND($D149="Serviço",AK$12&lt;&gt;0,$H149&gt;0,OR(AUTOEVENTO&lt;&gt;"manual",$M149&lt;&gt;1)),
IF(Import.TipoArredondamento&lt;&gt;"TransfereGOV",
ROUND(OFFSET($P149,0,AK$13),15-13*ORÇAMENTO!$AF$7)/$H149*OFFSET(ORÇAMENTO!$X$15,ROW(AK149)-ROW(AK$15),0),
ROUND(ROUND(OFFSET($P149,0,AK$13),15-13*ORÇAMENTO!$AF$7)*OFFSET(ORÇAMENTO!$W$15,ROW(AK149)-ROW(AK$15),0),15-13*ORÇAMENTO!$AF$11)),0)</f>
        <v>0</v>
      </c>
      <c r="AM149" s="181">
        <f ca="1">IF($D149&lt;&gt;"Serviço",0,IF(AND(AUTOEVENTO="Manual",$M149=1),0,IF(OFFSET(CRONOPLE!$F$14,$M149,AM$13)="",10^12,OFFSET(CRONOPLE!$F$14,$M149,AM$13))))</f>
        <v>1000000000000</v>
      </c>
      <c r="AN149" s="181">
        <f ca="1">IF($D149&lt;&gt;"Serviço",0,IF(AND(AUTOEVENTO="Manual",$M149=1),0,IF(OFFSET(CRONOPLE!$F$14,$M149,AN$13)="",10^12,OFFSET(CRONOPLE!$F$14,$M149,AN$13))))</f>
        <v>1000000000000</v>
      </c>
      <c r="AO149" s="181">
        <f ca="1">IF($D149&lt;&gt;"Serviço",0,IF(AND(AUTOEVENTO="Manual",$M149=1),0,IF(OFFSET(CRONOPLE!$F$14,$M149,AO$13)="",10^12,OFFSET(CRONOPLE!$F$14,$M149,AO$13))))</f>
        <v>1000000000000</v>
      </c>
      <c r="AP149" s="181">
        <f ca="1">IF($D149&lt;&gt;"Serviço",0,IF(AND(AUTOEVENTO="Manual",$M149=1),0,IF(OFFSET(CRONOPLE!$F$14,$M149,AP$13)="",10^12,OFFSET(CRONOPLE!$F$14,$M149,AP$13))))</f>
        <v>1000000000000</v>
      </c>
      <c r="AQ149" s="181">
        <f ca="1">IF($D149&lt;&gt;"Serviço",0,IF(AND(AUTOEVENTO="Manual",$M149=1),0,IF(OFFSET(CRONOPLE!$F$14,$M149,AQ$13)="",10^12,OFFSET(CRONOPLE!$F$14,$M149,AQ$13))))</f>
        <v>1000000000000</v>
      </c>
      <c r="AR149" s="181">
        <f ca="1">IF($D149&lt;&gt;"Serviço",0,IF(AND(AUTOEVENTO="Manual",$M149=1),0,IF(OFFSET(CRONOPLE!$F$14,$M149,AR$13)="",10^12,OFFSET(CRONOPLE!$F$14,$M149,AR$13))))</f>
        <v>1000000000000</v>
      </c>
      <c r="AS149" s="181">
        <f ca="1">IF($D149&lt;&gt;"Serviço",0,IF(AND(AUTOEVENTO="Manual",$M149=1),0,IF(OFFSET(CRONOPLE!$F$14,$M149,AS$13)="",10^12,OFFSET(CRONOPLE!$F$14,$M149,AS$13))))</f>
        <v>1000000000000</v>
      </c>
      <c r="AT149" s="181">
        <f ca="1">IF($D149&lt;&gt;"Serviço",0,IF(AND(AUTOEVENTO="Manual",$M149=1),0,IF(OFFSET(CRONOPLE!$F$14,$M149,AT$13)="",10^12,OFFSET(CRONOPLE!$F$14,$M149,AT$13))))</f>
        <v>1000000000000</v>
      </c>
      <c r="AU149" s="181">
        <f ca="1">IF($D149&lt;&gt;"Serviço",0,IF(AND(AUTOEVENTO="Manual",$M149=1),0,IF(OFFSET(CRONOPLE!$F$14,$M149,AU$13)="",10^12,OFFSET(CRONOPLE!$F$14,$M149,AU$13))))</f>
        <v>1000000000000</v>
      </c>
      <c r="AV149" s="181">
        <f ca="1">IF($D149&lt;&gt;"Serviço",0,IF(AND(AUTOEVENTO="Manual",$M149=1),0,IF(OFFSET(CRONOPLE!$F$14,$M149,AV$13)="",10^12,OFFSET(CRONOPLE!$F$14,$M149,AV$13))))</f>
        <v>1000000000000</v>
      </c>
      <c r="AX149" s="182">
        <f ca="1">IF($D149&lt;&gt;"Serviço",0,IF(OR(AND(AUTOEVENTO="Manual",$M149=1),$M149&gt;(ROW(PLE.lastrow)-ROW(PLE.firstrow))),0,IF(OFFSET(PLE!$G$14,$M149,AX$13)="",10^12,OFFSET(PLE!$G$14,$M149,AX$13))))</f>
        <v>1000000000000</v>
      </c>
      <c r="AY149" s="182">
        <f ca="1">IF($D149&lt;&gt;"Serviço",0,IF(OR(AND(AUTOEVENTO="Manual",$M149=1),$M149&gt;(ROW(PLE.lastrow)-ROW(PLE.firstrow))),0,IF(OFFSET(PLE!$G$14,$M149,AY$13)="",10^12,OFFSET(PLE!$G$14,$M149,AY$13))))</f>
        <v>1000000000000</v>
      </c>
      <c r="AZ149" s="182">
        <f ca="1">IF($D149&lt;&gt;"Serviço",0,IF(OR(AND(AUTOEVENTO="Manual",$M149=1),$M149&gt;(ROW(PLE.lastrow)-ROW(PLE.firstrow))),0,IF(OFFSET(PLE!$G$14,$M149,AZ$13)="",10^12,OFFSET(PLE!$G$14,$M149,AZ$13))))</f>
        <v>1000000000000</v>
      </c>
      <c r="BA149" s="182">
        <f ca="1">IF($D149&lt;&gt;"Serviço",0,IF(OR(AND(AUTOEVENTO="Manual",$M149=1),$M149&gt;(ROW(PLE.lastrow)-ROW(PLE.firstrow))),0,IF(OFFSET(PLE!$G$14,$M149,BA$13)="",10^12,OFFSET(PLE!$G$14,$M149,BA$13))))</f>
        <v>1000000000000</v>
      </c>
      <c r="BB149" s="182">
        <f ca="1">IF($D149&lt;&gt;"Serviço",0,IF(OR(AND(AUTOEVENTO="Manual",$M149=1),$M149&gt;(ROW(PLE.lastrow)-ROW(PLE.firstrow))),0,IF(OFFSET(PLE!$G$14,$M149,BB$13)="",10^12,OFFSET(PLE!$G$14,$M149,BB$13))))</f>
        <v>1000000000000</v>
      </c>
      <c r="BC149" s="182">
        <f ca="1">IF($D149&lt;&gt;"Serviço",0,IF(OR(AND(AUTOEVENTO="Manual",$M149=1),$M149&gt;(ROW(PLE.lastrow)-ROW(PLE.firstrow))),0,IF(OFFSET(PLE!$G$14,$M149,BC$13)="",10^12,OFFSET(PLE!$G$14,$M149,BC$13))))</f>
        <v>1000000000000</v>
      </c>
      <c r="BD149" s="182">
        <f ca="1">IF($D149&lt;&gt;"Serviço",0,IF(OR(AND(AUTOEVENTO="Manual",$M149=1),$M149&gt;(ROW(PLE.lastrow)-ROW(PLE.firstrow))),0,IF(OFFSET(PLE!$G$14,$M149,BD$13)="",10^12,OFFSET(PLE!$G$14,$M149,BD$13))))</f>
        <v>1000000000000</v>
      </c>
      <c r="BE149" s="182">
        <f ca="1">IF($D149&lt;&gt;"Serviço",0,IF(OR(AND(AUTOEVENTO="Manual",$M149=1),$M149&gt;(ROW(PLE.lastrow)-ROW(PLE.firstrow))),0,IF(OFFSET(PLE!$G$14,$M149,BE$13)="",10^12,OFFSET(PLE!$G$14,$M149,BE$13))))</f>
        <v>1000000000000</v>
      </c>
      <c r="BF149" s="182">
        <f ca="1">IF($D149&lt;&gt;"Serviço",0,IF(OR(AND(AUTOEVENTO="Manual",$M149=1),$M149&gt;(ROW(PLE.lastrow)-ROW(PLE.firstrow))),0,IF(OFFSET(PLE!$G$14,$M149,BF$13)="",10^12,OFFSET(PLE!$G$14,$M149,BF$13))))</f>
        <v>1000000000000</v>
      </c>
      <c r="BG149" s="182">
        <f ca="1">IF($D149&lt;&gt;"Serviço",0,IF(OR(AND(AUTOEVENTO="Manual",$M149=1),$M149&gt;(ROW(PLE.lastrow)-ROW(PLE.firstrow))),0,IF(OFFSET(PLE!$G$14,$M149,BG$13)="",10^12,OFFSET(PLE!$G$14,$M149,BG$13))))</f>
        <v>1000000000000</v>
      </c>
    </row>
    <row r="150" spans="1:59" ht="12.75" x14ac:dyDescent="0.2">
      <c r="A150" s="7" t="str">
        <f ca="1">IF(AUTOEVENTO="Manual",IF(K150&lt;&gt;"",MIN(VALUE(LEFT(K150,FIND(".",K150)-1)),COUNTA(EVENTOS.Lista)),0),IF(OR($B150&gt;AUTOEVENTO,$B150="S",$B150=0),SUBSTITUTE(OFFSET($A150,-1,0),IF($D150="Serviço",".",""),""),ROW(A150)-ROW($A$15)&amp;"."))</f>
        <v>135.</v>
      </c>
      <c r="B150" s="7">
        <f ca="1">OFFSET(ORÇAMENTO!C$15,ROW(B150)-ROW(B$15),0)</f>
        <v>1</v>
      </c>
      <c r="C150" s="7" t="str">
        <f ca="1">OFFSET(ORÇAMENTO!L$15,ROW(C150)-ROW(C$15),0)</f>
        <v>F</v>
      </c>
      <c r="D150" s="118" t="str">
        <f ca="1">OFFSET(ORÇAMENTO!N$15,ROW(D150)-ROW(D$15),0)</f>
        <v>Meta</v>
      </c>
      <c r="E150" s="119" t="str">
        <f ca="1">OFFSET(ORÇAMENTO!O$15,ROW(E150)-ROW(E$15),0)</f>
        <v>10.</v>
      </c>
      <c r="F150" s="172" t="str">
        <f ca="1">OFFSET(ORÇAMENTO!R$15,ROW(F150)-ROW(F$15),0)</f>
        <v>CAMPO DE FUTEBOL</v>
      </c>
      <c r="G150" s="173" t="str">
        <f ca="1">IF($D150&lt;&gt;"Serviço","",OFFSET(ORÇAMENTO!S$15,ROW(G150)-ROW(G$15),0))</f>
        <v/>
      </c>
      <c r="H150" s="124">
        <f ca="1">IF($D150&lt;&gt;"Serviço",0,IF(ACOMPANHAMENTO="BM",ROUND(OFFSET(ORÇAMENTO!AJ$15,ROW(H150)-ROW(H$15),0),15-13*ORÇAMENTO!$AF$7),SUMPRODUCT(($Q$12:$AA$12&lt;&gt;"")*ROUND($Q150:$AA150,15-13*ORÇAMENTO!$AF$7))))</f>
        <v>0</v>
      </c>
      <c r="I150" s="561"/>
      <c r="K150" s="174"/>
      <c r="L150" s="175" t="s">
        <v>255</v>
      </c>
      <c r="M150" s="176" t="str">
        <f ca="1">IF($D150&lt;&gt;"Serviço","",IF(AUTOEVENTO="manual",$A150,IF(ISERROR(MATCH($A150,$A$15:OFFSET($A150,-1,0),0)),MAX($M$15:OFFSET(M150,-1,0))+1,INDEX($M$15:OFFSET(M150,-1,0),MATCH($A150,$A$15:OFFSET($A150,-1,0),0)))))</f>
        <v/>
      </c>
      <c r="N150" s="177" t="str">
        <f ca="1">IF($D150&lt;&gt;"Serviço","",IF(AUTOEVENTO="Manual",IF($A150=0,"&lt;-- defina o número do agrupador",OFFSET(EVENTOS!$D$14,$A150,0)),OFFSET($F$15,$A150,0)))</f>
        <v/>
      </c>
      <c r="O150" s="178"/>
      <c r="Q150" s="178"/>
      <c r="R150" s="179"/>
      <c r="S150" s="179"/>
      <c r="T150" s="179"/>
      <c r="U150" s="179"/>
      <c r="V150" s="179"/>
      <c r="W150" s="179"/>
      <c r="X150" s="179"/>
      <c r="Y150" s="179"/>
      <c r="Z150" s="180"/>
      <c r="AB150" s="544">
        <f ca="1">IF(AND($D150="Serviço",AB$12&lt;&gt;0,$H150&gt;0,OR(AUTOEVENTO&lt;&gt;"manual",$M150&lt;&gt;1)),
IF(Import.TipoArredondamento&lt;&gt;"TransfereGOV",
ROUND(OFFSET($P150,0,AB$13),15-13*ORÇAMENTO!$AF$7)/$H150*OFFSET(ORÇAMENTO!$X$15,ROW(AB150)-ROW(AB$15),0),
ROUND(ROUND(OFFSET($P150,0,AB$13),15-13*ORÇAMENTO!$AF$7)*OFFSET(ORÇAMENTO!$W$15,ROW(AB150)-ROW(AB$15),0),15-13*ORÇAMENTO!$AF$11)),0)</f>
        <v>0</v>
      </c>
      <c r="AC150" s="545">
        <f ca="1">IF(AND($D150="Serviço",AC$12&lt;&gt;0,$H150&gt;0,OR(AUTOEVENTO&lt;&gt;"manual",$M150&lt;&gt;1)),
IF(Import.TipoArredondamento&lt;&gt;"TransfereGOV",
ROUND(OFFSET($P150,0,AC$13),15-13*ORÇAMENTO!$AF$7)/$H150*OFFSET(ORÇAMENTO!$X$15,ROW(AC150)-ROW(AC$15),0),
ROUND(ROUND(OFFSET($P150,0,AC$13),15-13*ORÇAMENTO!$AF$7)*OFFSET(ORÇAMENTO!$W$15,ROW(AC150)-ROW(AC$15),0),15-13*ORÇAMENTO!$AF$11)),0)</f>
        <v>0</v>
      </c>
      <c r="AD150" s="545">
        <f ca="1">IF(AND($D150="Serviço",AD$12&lt;&gt;0,$H150&gt;0,OR(AUTOEVENTO&lt;&gt;"manual",$M150&lt;&gt;1)),
IF(Import.TipoArredondamento&lt;&gt;"TransfereGOV",
ROUND(OFFSET($P150,0,AD$13),15-13*ORÇAMENTO!$AF$7)/$H150*OFFSET(ORÇAMENTO!$X$15,ROW(AD150)-ROW(AD$15),0),
ROUND(ROUND(OFFSET($P150,0,AD$13),15-13*ORÇAMENTO!$AF$7)*OFFSET(ORÇAMENTO!$W$15,ROW(AD150)-ROW(AD$15),0),15-13*ORÇAMENTO!$AF$11)),0)</f>
        <v>0</v>
      </c>
      <c r="AE150" s="545">
        <f ca="1">IF(AND($D150="Serviço",AE$12&lt;&gt;0,$H150&gt;0,OR(AUTOEVENTO&lt;&gt;"manual",$M150&lt;&gt;1)),
IF(Import.TipoArredondamento&lt;&gt;"TransfereGOV",
ROUND(OFFSET($P150,0,AE$13),15-13*ORÇAMENTO!$AF$7)/$H150*OFFSET(ORÇAMENTO!$X$15,ROW(AE150)-ROW(AE$15),0),
ROUND(ROUND(OFFSET($P150,0,AE$13),15-13*ORÇAMENTO!$AF$7)*OFFSET(ORÇAMENTO!$W$15,ROW(AE150)-ROW(AE$15),0),15-13*ORÇAMENTO!$AF$11)),0)</f>
        <v>0</v>
      </c>
      <c r="AF150" s="545">
        <f ca="1">IF(AND($D150="Serviço",AF$12&lt;&gt;0,$H150&gt;0,OR(AUTOEVENTO&lt;&gt;"manual",$M150&lt;&gt;1)),
IF(Import.TipoArredondamento&lt;&gt;"TransfereGOV",
ROUND(OFFSET($P150,0,AF$13),15-13*ORÇAMENTO!$AF$7)/$H150*OFFSET(ORÇAMENTO!$X$15,ROW(AF150)-ROW(AF$15),0),
ROUND(ROUND(OFFSET($P150,0,AF$13),15-13*ORÇAMENTO!$AF$7)*OFFSET(ORÇAMENTO!$W$15,ROW(AF150)-ROW(AF$15),0),15-13*ORÇAMENTO!$AF$11)),0)</f>
        <v>0</v>
      </c>
      <c r="AG150" s="545">
        <f ca="1">IF(AND($D150="Serviço",AG$12&lt;&gt;0,$H150&gt;0,OR(AUTOEVENTO&lt;&gt;"manual",$M150&lt;&gt;1)),
IF(Import.TipoArredondamento&lt;&gt;"TransfereGOV",
ROUND(OFFSET($P150,0,AG$13),15-13*ORÇAMENTO!$AF$7)/$H150*OFFSET(ORÇAMENTO!$X$15,ROW(AG150)-ROW(AG$15),0),
ROUND(ROUND(OFFSET($P150,0,AG$13),15-13*ORÇAMENTO!$AF$7)*OFFSET(ORÇAMENTO!$W$15,ROW(AG150)-ROW(AG$15),0),15-13*ORÇAMENTO!$AF$11)),0)</f>
        <v>0</v>
      </c>
      <c r="AH150" s="545">
        <f ca="1">IF(AND($D150="Serviço",AH$12&lt;&gt;0,$H150&gt;0,OR(AUTOEVENTO&lt;&gt;"manual",$M150&lt;&gt;1)),
IF(Import.TipoArredondamento&lt;&gt;"TransfereGOV",
ROUND(OFFSET($P150,0,AH$13),15-13*ORÇAMENTO!$AF$7)/$H150*OFFSET(ORÇAMENTO!$X$15,ROW(AH150)-ROW(AH$15),0),
ROUND(ROUND(OFFSET($P150,0,AH$13),15-13*ORÇAMENTO!$AF$7)*OFFSET(ORÇAMENTO!$W$15,ROW(AH150)-ROW(AH$15),0),15-13*ORÇAMENTO!$AF$11)),0)</f>
        <v>0</v>
      </c>
      <c r="AI150" s="545">
        <f ca="1">IF(AND($D150="Serviço",AI$12&lt;&gt;0,$H150&gt;0,OR(AUTOEVENTO&lt;&gt;"manual",$M150&lt;&gt;1)),
IF(Import.TipoArredondamento&lt;&gt;"TransfereGOV",
ROUND(OFFSET($P150,0,AI$13),15-13*ORÇAMENTO!$AF$7)/$H150*OFFSET(ORÇAMENTO!$X$15,ROW(AI150)-ROW(AI$15),0),
ROUND(ROUND(OFFSET($P150,0,AI$13),15-13*ORÇAMENTO!$AF$7)*OFFSET(ORÇAMENTO!$W$15,ROW(AI150)-ROW(AI$15),0),15-13*ORÇAMENTO!$AF$11)),0)</f>
        <v>0</v>
      </c>
      <c r="AJ150" s="545">
        <f ca="1">IF(AND($D150="Serviço",AJ$12&lt;&gt;0,$H150&gt;0,OR(AUTOEVENTO&lt;&gt;"manual",$M150&lt;&gt;1)),
IF(Import.TipoArredondamento&lt;&gt;"TransfereGOV",
ROUND(OFFSET($P150,0,AJ$13),15-13*ORÇAMENTO!$AF$7)/$H150*OFFSET(ORÇAMENTO!$X$15,ROW(AJ150)-ROW(AJ$15),0),
ROUND(ROUND(OFFSET($P150,0,AJ$13),15-13*ORÇAMENTO!$AF$7)*OFFSET(ORÇAMENTO!$W$15,ROW(AJ150)-ROW(AJ$15),0),15-13*ORÇAMENTO!$AF$11)),0)</f>
        <v>0</v>
      </c>
      <c r="AK150" s="546">
        <f ca="1">IF(AND($D150="Serviço",AK$12&lt;&gt;0,$H150&gt;0,OR(AUTOEVENTO&lt;&gt;"manual",$M150&lt;&gt;1)),
IF(Import.TipoArredondamento&lt;&gt;"TransfereGOV",
ROUND(OFFSET($P150,0,AK$13),15-13*ORÇAMENTO!$AF$7)/$H150*OFFSET(ORÇAMENTO!$X$15,ROW(AK150)-ROW(AK$15),0),
ROUND(ROUND(OFFSET($P150,0,AK$13),15-13*ORÇAMENTO!$AF$7)*OFFSET(ORÇAMENTO!$W$15,ROW(AK150)-ROW(AK$15),0),15-13*ORÇAMENTO!$AF$11)),0)</f>
        <v>0</v>
      </c>
      <c r="AM150" s="181">
        <f ca="1">IF($D150&lt;&gt;"Serviço",0,IF(AND(AUTOEVENTO="Manual",$M150=1),0,IF(OFFSET(CRONOPLE!$F$14,$M150,AM$13)="",10^12,OFFSET(CRONOPLE!$F$14,$M150,AM$13))))</f>
        <v>0</v>
      </c>
      <c r="AN150" s="181">
        <f ca="1">IF($D150&lt;&gt;"Serviço",0,IF(AND(AUTOEVENTO="Manual",$M150=1),0,IF(OFFSET(CRONOPLE!$F$14,$M150,AN$13)="",10^12,OFFSET(CRONOPLE!$F$14,$M150,AN$13))))</f>
        <v>0</v>
      </c>
      <c r="AO150" s="181">
        <f ca="1">IF($D150&lt;&gt;"Serviço",0,IF(AND(AUTOEVENTO="Manual",$M150=1),0,IF(OFFSET(CRONOPLE!$F$14,$M150,AO$13)="",10^12,OFFSET(CRONOPLE!$F$14,$M150,AO$13))))</f>
        <v>0</v>
      </c>
      <c r="AP150" s="181">
        <f ca="1">IF($D150&lt;&gt;"Serviço",0,IF(AND(AUTOEVENTO="Manual",$M150=1),0,IF(OFFSET(CRONOPLE!$F$14,$M150,AP$13)="",10^12,OFFSET(CRONOPLE!$F$14,$M150,AP$13))))</f>
        <v>0</v>
      </c>
      <c r="AQ150" s="181">
        <f ca="1">IF($D150&lt;&gt;"Serviço",0,IF(AND(AUTOEVENTO="Manual",$M150=1),0,IF(OFFSET(CRONOPLE!$F$14,$M150,AQ$13)="",10^12,OFFSET(CRONOPLE!$F$14,$M150,AQ$13))))</f>
        <v>0</v>
      </c>
      <c r="AR150" s="181">
        <f ca="1">IF($D150&lt;&gt;"Serviço",0,IF(AND(AUTOEVENTO="Manual",$M150=1),0,IF(OFFSET(CRONOPLE!$F$14,$M150,AR$13)="",10^12,OFFSET(CRONOPLE!$F$14,$M150,AR$13))))</f>
        <v>0</v>
      </c>
      <c r="AS150" s="181">
        <f ca="1">IF($D150&lt;&gt;"Serviço",0,IF(AND(AUTOEVENTO="Manual",$M150=1),0,IF(OFFSET(CRONOPLE!$F$14,$M150,AS$13)="",10^12,OFFSET(CRONOPLE!$F$14,$M150,AS$13))))</f>
        <v>0</v>
      </c>
      <c r="AT150" s="181">
        <f ca="1">IF($D150&lt;&gt;"Serviço",0,IF(AND(AUTOEVENTO="Manual",$M150=1),0,IF(OFFSET(CRONOPLE!$F$14,$M150,AT$13)="",10^12,OFFSET(CRONOPLE!$F$14,$M150,AT$13))))</f>
        <v>0</v>
      </c>
      <c r="AU150" s="181">
        <f ca="1">IF($D150&lt;&gt;"Serviço",0,IF(AND(AUTOEVENTO="Manual",$M150=1),0,IF(OFFSET(CRONOPLE!$F$14,$M150,AU$13)="",10^12,OFFSET(CRONOPLE!$F$14,$M150,AU$13))))</f>
        <v>0</v>
      </c>
      <c r="AV150" s="181">
        <f ca="1">IF($D150&lt;&gt;"Serviço",0,IF(AND(AUTOEVENTO="Manual",$M150=1),0,IF(OFFSET(CRONOPLE!$F$14,$M150,AV$13)="",10^12,OFFSET(CRONOPLE!$F$14,$M150,AV$13))))</f>
        <v>0</v>
      </c>
      <c r="AX150" s="182">
        <f ca="1">IF($D150&lt;&gt;"Serviço",0,IF(OR(AND(AUTOEVENTO="Manual",$M150=1),$M150&gt;(ROW(PLE.lastrow)-ROW(PLE.firstrow))),0,IF(OFFSET(PLE!$G$14,$M150,AX$13)="",10^12,OFFSET(PLE!$G$14,$M150,AX$13))))</f>
        <v>0</v>
      </c>
      <c r="AY150" s="182">
        <f ca="1">IF($D150&lt;&gt;"Serviço",0,IF(OR(AND(AUTOEVENTO="Manual",$M150=1),$M150&gt;(ROW(PLE.lastrow)-ROW(PLE.firstrow))),0,IF(OFFSET(PLE!$G$14,$M150,AY$13)="",10^12,OFFSET(PLE!$G$14,$M150,AY$13))))</f>
        <v>0</v>
      </c>
      <c r="AZ150" s="182">
        <f ca="1">IF($D150&lt;&gt;"Serviço",0,IF(OR(AND(AUTOEVENTO="Manual",$M150=1),$M150&gt;(ROW(PLE.lastrow)-ROW(PLE.firstrow))),0,IF(OFFSET(PLE!$G$14,$M150,AZ$13)="",10^12,OFFSET(PLE!$G$14,$M150,AZ$13))))</f>
        <v>0</v>
      </c>
      <c r="BA150" s="182">
        <f ca="1">IF($D150&lt;&gt;"Serviço",0,IF(OR(AND(AUTOEVENTO="Manual",$M150=1),$M150&gt;(ROW(PLE.lastrow)-ROW(PLE.firstrow))),0,IF(OFFSET(PLE!$G$14,$M150,BA$13)="",10^12,OFFSET(PLE!$G$14,$M150,BA$13))))</f>
        <v>0</v>
      </c>
      <c r="BB150" s="182">
        <f ca="1">IF($D150&lt;&gt;"Serviço",0,IF(OR(AND(AUTOEVENTO="Manual",$M150=1),$M150&gt;(ROW(PLE.lastrow)-ROW(PLE.firstrow))),0,IF(OFFSET(PLE!$G$14,$M150,BB$13)="",10^12,OFFSET(PLE!$G$14,$M150,BB$13))))</f>
        <v>0</v>
      </c>
      <c r="BC150" s="182">
        <f ca="1">IF($D150&lt;&gt;"Serviço",0,IF(OR(AND(AUTOEVENTO="Manual",$M150=1),$M150&gt;(ROW(PLE.lastrow)-ROW(PLE.firstrow))),0,IF(OFFSET(PLE!$G$14,$M150,BC$13)="",10^12,OFFSET(PLE!$G$14,$M150,BC$13))))</f>
        <v>0</v>
      </c>
      <c r="BD150" s="182">
        <f ca="1">IF($D150&lt;&gt;"Serviço",0,IF(OR(AND(AUTOEVENTO="Manual",$M150=1),$M150&gt;(ROW(PLE.lastrow)-ROW(PLE.firstrow))),0,IF(OFFSET(PLE!$G$14,$M150,BD$13)="",10^12,OFFSET(PLE!$G$14,$M150,BD$13))))</f>
        <v>0</v>
      </c>
      <c r="BE150" s="182">
        <f ca="1">IF($D150&lt;&gt;"Serviço",0,IF(OR(AND(AUTOEVENTO="Manual",$M150=1),$M150&gt;(ROW(PLE.lastrow)-ROW(PLE.firstrow))),0,IF(OFFSET(PLE!$G$14,$M150,BE$13)="",10^12,OFFSET(PLE!$G$14,$M150,BE$13))))</f>
        <v>0</v>
      </c>
      <c r="BF150" s="182">
        <f ca="1">IF($D150&lt;&gt;"Serviço",0,IF(OR(AND(AUTOEVENTO="Manual",$M150=1),$M150&gt;(ROW(PLE.lastrow)-ROW(PLE.firstrow))),0,IF(OFFSET(PLE!$G$14,$M150,BF$13)="",10^12,OFFSET(PLE!$G$14,$M150,BF$13))))</f>
        <v>0</v>
      </c>
      <c r="BG150" s="182">
        <f ca="1">IF($D150&lt;&gt;"Serviço",0,IF(OR(AND(AUTOEVENTO="Manual",$M150=1),$M150&gt;(ROW(PLE.lastrow)-ROW(PLE.firstrow))),0,IF(OFFSET(PLE!$G$14,$M150,BG$13)="",10^12,OFFSET(PLE!$G$14,$M150,BG$13))))</f>
        <v>0</v>
      </c>
    </row>
    <row r="151" spans="1:59" ht="12.75" x14ac:dyDescent="0.2">
      <c r="A151" s="7" t="str">
        <f t="shared" ca="1" si="13"/>
        <v>136.</v>
      </c>
      <c r="B151" s="7">
        <f ca="1">OFFSET(ORÇAMENTO!C$15,ROW(B151)-ROW(B$15),0)</f>
        <v>2</v>
      </c>
      <c r="C151" s="7" t="str">
        <f ca="1">OFFSET(ORÇAMENTO!L$15,ROW(C151)-ROW(C$15),0)</f>
        <v>F</v>
      </c>
      <c r="D151" s="118" t="str">
        <f ca="1">OFFSET(ORÇAMENTO!N$15,ROW(D151)-ROW(D$15),0)</f>
        <v>Nível 2</v>
      </c>
      <c r="E151" s="119" t="str">
        <f ca="1">OFFSET(ORÇAMENTO!O$15,ROW(E151)-ROW(E$15),0)</f>
        <v>10.1.</v>
      </c>
      <c r="F151" s="172" t="str">
        <f ca="1">OFFSET(ORÇAMENTO!R$15,ROW(F151)-ROW(F$15),0)</f>
        <v xml:space="preserve">ALAMBRADO </v>
      </c>
      <c r="G151" s="173" t="str">
        <f ca="1">IF($D151&lt;&gt;"Serviço","",OFFSET(ORÇAMENTO!S$15,ROW(G151)-ROW(G$15),0))</f>
        <v/>
      </c>
      <c r="H151" s="124">
        <f ca="1">IF($D151&lt;&gt;"Serviço",0,IF(ACOMPANHAMENTO="BM",ROUND(OFFSET(ORÇAMENTO!AJ$15,ROW(H151)-ROW(H$15),0),15-13*ORÇAMENTO!$AF$7),SUMPRODUCT(($Q$12:$AA$12&lt;&gt;"")*ROUND($Q151:$AA151,15-13*ORÇAMENTO!$AF$7))))</f>
        <v>0</v>
      </c>
      <c r="I151" s="561"/>
      <c r="K151" s="174"/>
      <c r="L151" s="175" t="s">
        <v>255</v>
      </c>
      <c r="M151" s="176" t="str">
        <f ca="1">IF($D151&lt;&gt;"Serviço","",IF(AUTOEVENTO="manual",$A151,IF(ISERROR(MATCH($A151,$A$15:OFFSET($A151,-1,0),0)),MAX($M$15:OFFSET(M151,-1,0))+1,INDEX($M$15:OFFSET(M151,-1,0),MATCH($A151,$A$15:OFFSET($A151,-1,0),0)))))</f>
        <v/>
      </c>
      <c r="N151" s="177" t="str">
        <f ca="1">IF($D151&lt;&gt;"Serviço","",IF(AUTOEVENTO="Manual",IF($A151=0,"&lt;-- defina o número do agrupador",OFFSET(EVENTOS!$D$14,$A151,0)),OFFSET($F$15,$A151,0)))</f>
        <v/>
      </c>
      <c r="O151" s="178"/>
      <c r="Q151" s="178"/>
      <c r="R151" s="179"/>
      <c r="S151" s="179"/>
      <c r="T151" s="179"/>
      <c r="U151" s="179"/>
      <c r="V151" s="179"/>
      <c r="W151" s="179"/>
      <c r="X151" s="179"/>
      <c r="Y151" s="179"/>
      <c r="Z151" s="180"/>
      <c r="AB151" s="544">
        <f ca="1">IF(AND($D151="Serviço",AB$12&lt;&gt;0,$H151&gt;0,OR(AUTOEVENTO&lt;&gt;"manual",$M151&lt;&gt;1)),
IF(Import.TipoArredondamento&lt;&gt;"TransfereGOV",
ROUND(OFFSET($P151,0,AB$13),15-13*ORÇAMENTO!$AF$7)/$H151*OFFSET(ORÇAMENTO!$X$15,ROW(AB151)-ROW(AB$15),0),
ROUND(ROUND(OFFSET($P151,0,AB$13),15-13*ORÇAMENTO!$AF$7)*OFFSET(ORÇAMENTO!$W$15,ROW(AB151)-ROW(AB$15),0),15-13*ORÇAMENTO!$AF$11)),0)</f>
        <v>0</v>
      </c>
      <c r="AC151" s="545">
        <f ca="1">IF(AND($D151="Serviço",AC$12&lt;&gt;0,$H151&gt;0,OR(AUTOEVENTO&lt;&gt;"manual",$M151&lt;&gt;1)),
IF(Import.TipoArredondamento&lt;&gt;"TransfereGOV",
ROUND(OFFSET($P151,0,AC$13),15-13*ORÇAMENTO!$AF$7)/$H151*OFFSET(ORÇAMENTO!$X$15,ROW(AC151)-ROW(AC$15),0),
ROUND(ROUND(OFFSET($P151,0,AC$13),15-13*ORÇAMENTO!$AF$7)*OFFSET(ORÇAMENTO!$W$15,ROW(AC151)-ROW(AC$15),0),15-13*ORÇAMENTO!$AF$11)),0)</f>
        <v>0</v>
      </c>
      <c r="AD151" s="545">
        <f ca="1">IF(AND($D151="Serviço",AD$12&lt;&gt;0,$H151&gt;0,OR(AUTOEVENTO&lt;&gt;"manual",$M151&lt;&gt;1)),
IF(Import.TipoArredondamento&lt;&gt;"TransfereGOV",
ROUND(OFFSET($P151,0,AD$13),15-13*ORÇAMENTO!$AF$7)/$H151*OFFSET(ORÇAMENTO!$X$15,ROW(AD151)-ROW(AD$15),0),
ROUND(ROUND(OFFSET($P151,0,AD$13),15-13*ORÇAMENTO!$AF$7)*OFFSET(ORÇAMENTO!$W$15,ROW(AD151)-ROW(AD$15),0),15-13*ORÇAMENTO!$AF$11)),0)</f>
        <v>0</v>
      </c>
      <c r="AE151" s="545">
        <f ca="1">IF(AND($D151="Serviço",AE$12&lt;&gt;0,$H151&gt;0,OR(AUTOEVENTO&lt;&gt;"manual",$M151&lt;&gt;1)),
IF(Import.TipoArredondamento&lt;&gt;"TransfereGOV",
ROUND(OFFSET($P151,0,AE$13),15-13*ORÇAMENTO!$AF$7)/$H151*OFFSET(ORÇAMENTO!$X$15,ROW(AE151)-ROW(AE$15),0),
ROUND(ROUND(OFFSET($P151,0,AE$13),15-13*ORÇAMENTO!$AF$7)*OFFSET(ORÇAMENTO!$W$15,ROW(AE151)-ROW(AE$15),0),15-13*ORÇAMENTO!$AF$11)),0)</f>
        <v>0</v>
      </c>
      <c r="AF151" s="545">
        <f ca="1">IF(AND($D151="Serviço",AF$12&lt;&gt;0,$H151&gt;0,OR(AUTOEVENTO&lt;&gt;"manual",$M151&lt;&gt;1)),
IF(Import.TipoArredondamento&lt;&gt;"TransfereGOV",
ROUND(OFFSET($P151,0,AF$13),15-13*ORÇAMENTO!$AF$7)/$H151*OFFSET(ORÇAMENTO!$X$15,ROW(AF151)-ROW(AF$15),0),
ROUND(ROUND(OFFSET($P151,0,AF$13),15-13*ORÇAMENTO!$AF$7)*OFFSET(ORÇAMENTO!$W$15,ROW(AF151)-ROW(AF$15),0),15-13*ORÇAMENTO!$AF$11)),0)</f>
        <v>0</v>
      </c>
      <c r="AG151" s="545">
        <f ca="1">IF(AND($D151="Serviço",AG$12&lt;&gt;0,$H151&gt;0,OR(AUTOEVENTO&lt;&gt;"manual",$M151&lt;&gt;1)),
IF(Import.TipoArredondamento&lt;&gt;"TransfereGOV",
ROUND(OFFSET($P151,0,AG$13),15-13*ORÇAMENTO!$AF$7)/$H151*OFFSET(ORÇAMENTO!$X$15,ROW(AG151)-ROW(AG$15),0),
ROUND(ROUND(OFFSET($P151,0,AG$13),15-13*ORÇAMENTO!$AF$7)*OFFSET(ORÇAMENTO!$W$15,ROW(AG151)-ROW(AG$15),0),15-13*ORÇAMENTO!$AF$11)),0)</f>
        <v>0</v>
      </c>
      <c r="AH151" s="545">
        <f ca="1">IF(AND($D151="Serviço",AH$12&lt;&gt;0,$H151&gt;0,OR(AUTOEVENTO&lt;&gt;"manual",$M151&lt;&gt;1)),
IF(Import.TipoArredondamento&lt;&gt;"TransfereGOV",
ROUND(OFFSET($P151,0,AH$13),15-13*ORÇAMENTO!$AF$7)/$H151*OFFSET(ORÇAMENTO!$X$15,ROW(AH151)-ROW(AH$15),0),
ROUND(ROUND(OFFSET($P151,0,AH$13),15-13*ORÇAMENTO!$AF$7)*OFFSET(ORÇAMENTO!$W$15,ROW(AH151)-ROW(AH$15),0),15-13*ORÇAMENTO!$AF$11)),0)</f>
        <v>0</v>
      </c>
      <c r="AI151" s="545">
        <f ca="1">IF(AND($D151="Serviço",AI$12&lt;&gt;0,$H151&gt;0,OR(AUTOEVENTO&lt;&gt;"manual",$M151&lt;&gt;1)),
IF(Import.TipoArredondamento&lt;&gt;"TransfereGOV",
ROUND(OFFSET($P151,0,AI$13),15-13*ORÇAMENTO!$AF$7)/$H151*OFFSET(ORÇAMENTO!$X$15,ROW(AI151)-ROW(AI$15),0),
ROUND(ROUND(OFFSET($P151,0,AI$13),15-13*ORÇAMENTO!$AF$7)*OFFSET(ORÇAMENTO!$W$15,ROW(AI151)-ROW(AI$15),0),15-13*ORÇAMENTO!$AF$11)),0)</f>
        <v>0</v>
      </c>
      <c r="AJ151" s="545">
        <f ca="1">IF(AND($D151="Serviço",AJ$12&lt;&gt;0,$H151&gt;0,OR(AUTOEVENTO&lt;&gt;"manual",$M151&lt;&gt;1)),
IF(Import.TipoArredondamento&lt;&gt;"TransfereGOV",
ROUND(OFFSET($P151,0,AJ$13),15-13*ORÇAMENTO!$AF$7)/$H151*OFFSET(ORÇAMENTO!$X$15,ROW(AJ151)-ROW(AJ$15),0),
ROUND(ROUND(OFFSET($P151,0,AJ$13),15-13*ORÇAMENTO!$AF$7)*OFFSET(ORÇAMENTO!$W$15,ROW(AJ151)-ROW(AJ$15),0),15-13*ORÇAMENTO!$AF$11)),0)</f>
        <v>0</v>
      </c>
      <c r="AK151" s="546">
        <f ca="1">IF(AND($D151="Serviço",AK$12&lt;&gt;0,$H151&gt;0,OR(AUTOEVENTO&lt;&gt;"manual",$M151&lt;&gt;1)),
IF(Import.TipoArredondamento&lt;&gt;"TransfereGOV",
ROUND(OFFSET($P151,0,AK$13),15-13*ORÇAMENTO!$AF$7)/$H151*OFFSET(ORÇAMENTO!$X$15,ROW(AK151)-ROW(AK$15),0),
ROUND(ROUND(OFFSET($P151,0,AK$13),15-13*ORÇAMENTO!$AF$7)*OFFSET(ORÇAMENTO!$W$15,ROW(AK151)-ROW(AK$15),0),15-13*ORÇAMENTO!$AF$11)),0)</f>
        <v>0</v>
      </c>
      <c r="AM151" s="181">
        <f ca="1">IF($D151&lt;&gt;"Serviço",0,IF(AND(AUTOEVENTO="Manual",$M151=1),0,IF(OFFSET(CRONOPLE!$F$14,$M151,AM$13)="",10^12,OFFSET(CRONOPLE!$F$14,$M151,AM$13))))</f>
        <v>0</v>
      </c>
      <c r="AN151" s="181">
        <f ca="1">IF($D151&lt;&gt;"Serviço",0,IF(AND(AUTOEVENTO="Manual",$M151=1),0,IF(OFFSET(CRONOPLE!$F$14,$M151,AN$13)="",10^12,OFFSET(CRONOPLE!$F$14,$M151,AN$13))))</f>
        <v>0</v>
      </c>
      <c r="AO151" s="181">
        <f ca="1">IF($D151&lt;&gt;"Serviço",0,IF(AND(AUTOEVENTO="Manual",$M151=1),0,IF(OFFSET(CRONOPLE!$F$14,$M151,AO$13)="",10^12,OFFSET(CRONOPLE!$F$14,$M151,AO$13))))</f>
        <v>0</v>
      </c>
      <c r="AP151" s="181">
        <f ca="1">IF($D151&lt;&gt;"Serviço",0,IF(AND(AUTOEVENTO="Manual",$M151=1),0,IF(OFFSET(CRONOPLE!$F$14,$M151,AP$13)="",10^12,OFFSET(CRONOPLE!$F$14,$M151,AP$13))))</f>
        <v>0</v>
      </c>
      <c r="AQ151" s="181">
        <f ca="1">IF($D151&lt;&gt;"Serviço",0,IF(AND(AUTOEVENTO="Manual",$M151=1),0,IF(OFFSET(CRONOPLE!$F$14,$M151,AQ$13)="",10^12,OFFSET(CRONOPLE!$F$14,$M151,AQ$13))))</f>
        <v>0</v>
      </c>
      <c r="AR151" s="181">
        <f ca="1">IF($D151&lt;&gt;"Serviço",0,IF(AND(AUTOEVENTO="Manual",$M151=1),0,IF(OFFSET(CRONOPLE!$F$14,$M151,AR$13)="",10^12,OFFSET(CRONOPLE!$F$14,$M151,AR$13))))</f>
        <v>0</v>
      </c>
      <c r="AS151" s="181">
        <f ca="1">IF($D151&lt;&gt;"Serviço",0,IF(AND(AUTOEVENTO="Manual",$M151=1),0,IF(OFFSET(CRONOPLE!$F$14,$M151,AS$13)="",10^12,OFFSET(CRONOPLE!$F$14,$M151,AS$13))))</f>
        <v>0</v>
      </c>
      <c r="AT151" s="181">
        <f ca="1">IF($D151&lt;&gt;"Serviço",0,IF(AND(AUTOEVENTO="Manual",$M151=1),0,IF(OFFSET(CRONOPLE!$F$14,$M151,AT$13)="",10^12,OFFSET(CRONOPLE!$F$14,$M151,AT$13))))</f>
        <v>0</v>
      </c>
      <c r="AU151" s="181">
        <f ca="1">IF($D151&lt;&gt;"Serviço",0,IF(AND(AUTOEVENTO="Manual",$M151=1),0,IF(OFFSET(CRONOPLE!$F$14,$M151,AU$13)="",10^12,OFFSET(CRONOPLE!$F$14,$M151,AU$13))))</f>
        <v>0</v>
      </c>
      <c r="AV151" s="181">
        <f ca="1">IF($D151&lt;&gt;"Serviço",0,IF(AND(AUTOEVENTO="Manual",$M151=1),0,IF(OFFSET(CRONOPLE!$F$14,$M151,AV$13)="",10^12,OFFSET(CRONOPLE!$F$14,$M151,AV$13))))</f>
        <v>0</v>
      </c>
      <c r="AX151" s="182">
        <f ca="1">IF($D151&lt;&gt;"Serviço",0,IF(OR(AND(AUTOEVENTO="Manual",$M151=1),$M151&gt;(ROW(PLE.lastrow)-ROW(PLE.firstrow))),0,IF(OFFSET(PLE!$G$14,$M151,AX$13)="",10^12,OFFSET(PLE!$G$14,$M151,AX$13))))</f>
        <v>0</v>
      </c>
      <c r="AY151" s="182">
        <f ca="1">IF($D151&lt;&gt;"Serviço",0,IF(OR(AND(AUTOEVENTO="Manual",$M151=1),$M151&gt;(ROW(PLE.lastrow)-ROW(PLE.firstrow))),0,IF(OFFSET(PLE!$G$14,$M151,AY$13)="",10^12,OFFSET(PLE!$G$14,$M151,AY$13))))</f>
        <v>0</v>
      </c>
      <c r="AZ151" s="182">
        <f ca="1">IF($D151&lt;&gt;"Serviço",0,IF(OR(AND(AUTOEVENTO="Manual",$M151=1),$M151&gt;(ROW(PLE.lastrow)-ROW(PLE.firstrow))),0,IF(OFFSET(PLE!$G$14,$M151,AZ$13)="",10^12,OFFSET(PLE!$G$14,$M151,AZ$13))))</f>
        <v>0</v>
      </c>
      <c r="BA151" s="182">
        <f ca="1">IF($D151&lt;&gt;"Serviço",0,IF(OR(AND(AUTOEVENTO="Manual",$M151=1),$M151&gt;(ROW(PLE.lastrow)-ROW(PLE.firstrow))),0,IF(OFFSET(PLE!$G$14,$M151,BA$13)="",10^12,OFFSET(PLE!$G$14,$M151,BA$13))))</f>
        <v>0</v>
      </c>
      <c r="BB151" s="182">
        <f ca="1">IF($D151&lt;&gt;"Serviço",0,IF(OR(AND(AUTOEVENTO="Manual",$M151=1),$M151&gt;(ROW(PLE.lastrow)-ROW(PLE.firstrow))),0,IF(OFFSET(PLE!$G$14,$M151,BB$13)="",10^12,OFFSET(PLE!$G$14,$M151,BB$13))))</f>
        <v>0</v>
      </c>
      <c r="BC151" s="182">
        <f ca="1">IF($D151&lt;&gt;"Serviço",0,IF(OR(AND(AUTOEVENTO="Manual",$M151=1),$M151&gt;(ROW(PLE.lastrow)-ROW(PLE.firstrow))),0,IF(OFFSET(PLE!$G$14,$M151,BC$13)="",10^12,OFFSET(PLE!$G$14,$M151,BC$13))))</f>
        <v>0</v>
      </c>
      <c r="BD151" s="182">
        <f ca="1">IF($D151&lt;&gt;"Serviço",0,IF(OR(AND(AUTOEVENTO="Manual",$M151=1),$M151&gt;(ROW(PLE.lastrow)-ROW(PLE.firstrow))),0,IF(OFFSET(PLE!$G$14,$M151,BD$13)="",10^12,OFFSET(PLE!$G$14,$M151,BD$13))))</f>
        <v>0</v>
      </c>
      <c r="BE151" s="182">
        <f ca="1">IF($D151&lt;&gt;"Serviço",0,IF(OR(AND(AUTOEVENTO="Manual",$M151=1),$M151&gt;(ROW(PLE.lastrow)-ROW(PLE.firstrow))),0,IF(OFFSET(PLE!$G$14,$M151,BE$13)="",10^12,OFFSET(PLE!$G$14,$M151,BE$13))))</f>
        <v>0</v>
      </c>
      <c r="BF151" s="182">
        <f ca="1">IF($D151&lt;&gt;"Serviço",0,IF(OR(AND(AUTOEVENTO="Manual",$M151=1),$M151&gt;(ROW(PLE.lastrow)-ROW(PLE.firstrow))),0,IF(OFFSET(PLE!$G$14,$M151,BF$13)="",10^12,OFFSET(PLE!$G$14,$M151,BF$13))))</f>
        <v>0</v>
      </c>
      <c r="BG151" s="182">
        <f ca="1">IF($D151&lt;&gt;"Serviço",0,IF(OR(AND(AUTOEVENTO="Manual",$M151=1),$M151&gt;(ROW(PLE.lastrow)-ROW(PLE.firstrow))),0,IF(OFFSET(PLE!$G$14,$M151,BG$13)="",10^12,OFFSET(PLE!$G$14,$M151,BG$13))))</f>
        <v>0</v>
      </c>
    </row>
    <row r="152" spans="1:59" ht="38.25" x14ac:dyDescent="0.2">
      <c r="A152" s="7" t="str">
        <f t="shared" ca="1" si="13"/>
        <v>136</v>
      </c>
      <c r="B152" s="7" t="str">
        <f ca="1">OFFSET(ORÇAMENTO!C$15,ROW(B152)-ROW(B$15),0)</f>
        <v>S</v>
      </c>
      <c r="C152" s="7" t="str">
        <f ca="1">OFFSET(ORÇAMENTO!L$15,ROW(C152)-ROW(C$15),0)</f>
        <v>F</v>
      </c>
      <c r="D152" s="118" t="str">
        <f ca="1">OFFSET(ORÇAMENTO!N$15,ROW(D152)-ROW(D$15),0)</f>
        <v>Serviço</v>
      </c>
      <c r="E152" s="119" t="str">
        <f ca="1">OFFSET(ORÇAMENTO!O$15,ROW(E152)-ROW(E$15),0)</f>
        <v>10.1.1.</v>
      </c>
      <c r="F152" s="172" t="str">
        <f ca="1">OFFSET(ORÇAMENTO!R$15,ROW(F152)-ROW(F$15),0)</f>
        <v>FORNECIMENTO E INSTALAÇÃO DE ALAMBRADO EM TELA DE ARAME GALVANIZADO QUADRANGULAR FIO 2,11 MM (14 BWG), MALHA 5X5 CM</v>
      </c>
      <c r="G152" s="173" t="str">
        <f ca="1">IF($D152&lt;&gt;"Serviço","",OFFSET(ORÇAMENTO!S$15,ROW(G152)-ROW(G$15),0))</f>
        <v xml:space="preserve">M2 </v>
      </c>
      <c r="H152" s="124">
        <f ca="1">IF($D152&lt;&gt;"Serviço",0,IF(ACOMPANHAMENTO="BM",ROUND(OFFSET(ORÇAMENTO!AJ$15,ROW(H152)-ROW(H$15),0),15-13*ORÇAMENTO!$AF$7),SUMPRODUCT(($Q$12:$AA$12&lt;&gt;"")*ROUND($Q152:$AA152,15-13*ORÇAMENTO!$AF$7))))</f>
        <v>688</v>
      </c>
      <c r="I152" s="561"/>
      <c r="K152" s="174"/>
      <c r="L152" s="175" t="s">
        <v>255</v>
      </c>
      <c r="M152" s="176">
        <f ca="1">IF($D152&lt;&gt;"Serviço","",IF(AUTOEVENTO="manual",$A152,IF(ISERROR(MATCH($A152,$A$15:OFFSET($A152,-1,0),0)),MAX($M$15:OFFSET(M152,-1,0))+1,INDEX($M$15:OFFSET(M152,-1,0),MATCH($A152,$A$15:OFFSET($A152,-1,0),0)))))</f>
        <v>22</v>
      </c>
      <c r="N152" s="177" t="str">
        <f ca="1">IF($D152&lt;&gt;"Serviço","",IF(AUTOEVENTO="Manual",IF($A152=0,"&lt;-- defina o número do agrupador",OFFSET(EVENTOS!$D$14,$A152,0)),OFFSET($F$15,$A152,0)))</f>
        <v xml:space="preserve">ALAMBRADO </v>
      </c>
      <c r="O152" s="178"/>
      <c r="Q152" s="178"/>
      <c r="R152" s="179"/>
      <c r="S152" s="179"/>
      <c r="T152" s="179"/>
      <c r="U152" s="179"/>
      <c r="V152" s="179"/>
      <c r="W152" s="179"/>
      <c r="X152" s="179"/>
      <c r="Y152" s="179"/>
      <c r="Z152" s="180"/>
      <c r="AB152" s="544">
        <f ca="1">IF(AND($D152="Serviço",AB$12&lt;&gt;0,$H152&gt;0,OR(AUTOEVENTO&lt;&gt;"manual",$M152&lt;&gt;1)),
IF(Import.TipoArredondamento&lt;&gt;"TransfereGOV",
ROUND(OFFSET($P152,0,AB$13),15-13*ORÇAMENTO!$AF$7)/$H152*OFFSET(ORÇAMENTO!$X$15,ROW(AB152)-ROW(AB$15),0),
ROUND(ROUND(OFFSET($P152,0,AB$13),15-13*ORÇAMENTO!$AF$7)*OFFSET(ORÇAMENTO!$W$15,ROW(AB152)-ROW(AB$15),0),15-13*ORÇAMENTO!$AF$11)),0)</f>
        <v>0</v>
      </c>
      <c r="AC152" s="545">
        <f ca="1">IF(AND($D152="Serviço",AC$12&lt;&gt;0,$H152&gt;0,OR(AUTOEVENTO&lt;&gt;"manual",$M152&lt;&gt;1)),
IF(Import.TipoArredondamento&lt;&gt;"TransfereGOV",
ROUND(OFFSET($P152,0,AC$13),15-13*ORÇAMENTO!$AF$7)/$H152*OFFSET(ORÇAMENTO!$X$15,ROW(AC152)-ROW(AC$15),0),
ROUND(ROUND(OFFSET($P152,0,AC$13),15-13*ORÇAMENTO!$AF$7)*OFFSET(ORÇAMENTO!$W$15,ROW(AC152)-ROW(AC$15),0),15-13*ORÇAMENTO!$AF$11)),0)</f>
        <v>0</v>
      </c>
      <c r="AD152" s="545">
        <f ca="1">IF(AND($D152="Serviço",AD$12&lt;&gt;0,$H152&gt;0,OR(AUTOEVENTO&lt;&gt;"manual",$M152&lt;&gt;1)),
IF(Import.TipoArredondamento&lt;&gt;"TransfereGOV",
ROUND(OFFSET($P152,0,AD$13),15-13*ORÇAMENTO!$AF$7)/$H152*OFFSET(ORÇAMENTO!$X$15,ROW(AD152)-ROW(AD$15),0),
ROUND(ROUND(OFFSET($P152,0,AD$13),15-13*ORÇAMENTO!$AF$7)*OFFSET(ORÇAMENTO!$W$15,ROW(AD152)-ROW(AD$15),0),15-13*ORÇAMENTO!$AF$11)),0)</f>
        <v>0</v>
      </c>
      <c r="AE152" s="545">
        <f ca="1">IF(AND($D152="Serviço",AE$12&lt;&gt;0,$H152&gt;0,OR(AUTOEVENTO&lt;&gt;"manual",$M152&lt;&gt;1)),
IF(Import.TipoArredondamento&lt;&gt;"TransfereGOV",
ROUND(OFFSET($P152,0,AE$13),15-13*ORÇAMENTO!$AF$7)/$H152*OFFSET(ORÇAMENTO!$X$15,ROW(AE152)-ROW(AE$15),0),
ROUND(ROUND(OFFSET($P152,0,AE$13),15-13*ORÇAMENTO!$AF$7)*OFFSET(ORÇAMENTO!$W$15,ROW(AE152)-ROW(AE$15),0),15-13*ORÇAMENTO!$AF$11)),0)</f>
        <v>0</v>
      </c>
      <c r="AF152" s="545">
        <f ca="1">IF(AND($D152="Serviço",AF$12&lt;&gt;0,$H152&gt;0,OR(AUTOEVENTO&lt;&gt;"manual",$M152&lt;&gt;1)),
IF(Import.TipoArredondamento&lt;&gt;"TransfereGOV",
ROUND(OFFSET($P152,0,AF$13),15-13*ORÇAMENTO!$AF$7)/$H152*OFFSET(ORÇAMENTO!$X$15,ROW(AF152)-ROW(AF$15),0),
ROUND(ROUND(OFFSET($P152,0,AF$13),15-13*ORÇAMENTO!$AF$7)*OFFSET(ORÇAMENTO!$W$15,ROW(AF152)-ROW(AF$15),0),15-13*ORÇAMENTO!$AF$11)),0)</f>
        <v>0</v>
      </c>
      <c r="AG152" s="545">
        <f ca="1">IF(AND($D152="Serviço",AG$12&lt;&gt;0,$H152&gt;0,OR(AUTOEVENTO&lt;&gt;"manual",$M152&lt;&gt;1)),
IF(Import.TipoArredondamento&lt;&gt;"TransfereGOV",
ROUND(OFFSET($P152,0,AG$13),15-13*ORÇAMENTO!$AF$7)/$H152*OFFSET(ORÇAMENTO!$X$15,ROW(AG152)-ROW(AG$15),0),
ROUND(ROUND(OFFSET($P152,0,AG$13),15-13*ORÇAMENTO!$AF$7)*OFFSET(ORÇAMENTO!$W$15,ROW(AG152)-ROW(AG$15),0),15-13*ORÇAMENTO!$AF$11)),0)</f>
        <v>0</v>
      </c>
      <c r="AH152" s="545">
        <f ca="1">IF(AND($D152="Serviço",AH$12&lt;&gt;0,$H152&gt;0,OR(AUTOEVENTO&lt;&gt;"manual",$M152&lt;&gt;1)),
IF(Import.TipoArredondamento&lt;&gt;"TransfereGOV",
ROUND(OFFSET($P152,0,AH$13),15-13*ORÇAMENTO!$AF$7)/$H152*OFFSET(ORÇAMENTO!$X$15,ROW(AH152)-ROW(AH$15),0),
ROUND(ROUND(OFFSET($P152,0,AH$13),15-13*ORÇAMENTO!$AF$7)*OFFSET(ORÇAMENTO!$W$15,ROW(AH152)-ROW(AH$15),0),15-13*ORÇAMENTO!$AF$11)),0)</f>
        <v>0</v>
      </c>
      <c r="AI152" s="545">
        <f ca="1">IF(AND($D152="Serviço",AI$12&lt;&gt;0,$H152&gt;0,OR(AUTOEVENTO&lt;&gt;"manual",$M152&lt;&gt;1)),
IF(Import.TipoArredondamento&lt;&gt;"TransfereGOV",
ROUND(OFFSET($P152,0,AI$13),15-13*ORÇAMENTO!$AF$7)/$H152*OFFSET(ORÇAMENTO!$X$15,ROW(AI152)-ROW(AI$15),0),
ROUND(ROUND(OFFSET($P152,0,AI$13),15-13*ORÇAMENTO!$AF$7)*OFFSET(ORÇAMENTO!$W$15,ROW(AI152)-ROW(AI$15),0),15-13*ORÇAMENTO!$AF$11)),0)</f>
        <v>0</v>
      </c>
      <c r="AJ152" s="545">
        <f ca="1">IF(AND($D152="Serviço",AJ$12&lt;&gt;0,$H152&gt;0,OR(AUTOEVENTO&lt;&gt;"manual",$M152&lt;&gt;1)),
IF(Import.TipoArredondamento&lt;&gt;"TransfereGOV",
ROUND(OFFSET($P152,0,AJ$13),15-13*ORÇAMENTO!$AF$7)/$H152*OFFSET(ORÇAMENTO!$X$15,ROW(AJ152)-ROW(AJ$15),0),
ROUND(ROUND(OFFSET($P152,0,AJ$13),15-13*ORÇAMENTO!$AF$7)*OFFSET(ORÇAMENTO!$W$15,ROW(AJ152)-ROW(AJ$15),0),15-13*ORÇAMENTO!$AF$11)),0)</f>
        <v>0</v>
      </c>
      <c r="AK152" s="546">
        <f ca="1">IF(AND($D152="Serviço",AK$12&lt;&gt;0,$H152&gt;0,OR(AUTOEVENTO&lt;&gt;"manual",$M152&lt;&gt;1)),
IF(Import.TipoArredondamento&lt;&gt;"TransfereGOV",
ROUND(OFFSET($P152,0,AK$13),15-13*ORÇAMENTO!$AF$7)/$H152*OFFSET(ORÇAMENTO!$X$15,ROW(AK152)-ROW(AK$15),0),
ROUND(ROUND(OFFSET($P152,0,AK$13),15-13*ORÇAMENTO!$AF$7)*OFFSET(ORÇAMENTO!$W$15,ROW(AK152)-ROW(AK$15),0),15-13*ORÇAMENTO!$AF$11)),0)</f>
        <v>0</v>
      </c>
      <c r="AM152" s="181">
        <f ca="1">IF($D152&lt;&gt;"Serviço",0,IF(AND(AUTOEVENTO="Manual",$M152=1),0,IF(OFFSET(CRONOPLE!$F$14,$M152,AM$13)="",10^12,OFFSET(CRONOPLE!$F$14,$M152,AM$13))))</f>
        <v>1000000000000</v>
      </c>
      <c r="AN152" s="181">
        <f ca="1">IF($D152&lt;&gt;"Serviço",0,IF(AND(AUTOEVENTO="Manual",$M152=1),0,IF(OFFSET(CRONOPLE!$F$14,$M152,AN$13)="",10^12,OFFSET(CRONOPLE!$F$14,$M152,AN$13))))</f>
        <v>1000000000000</v>
      </c>
      <c r="AO152" s="181">
        <f ca="1">IF($D152&lt;&gt;"Serviço",0,IF(AND(AUTOEVENTO="Manual",$M152=1),0,IF(OFFSET(CRONOPLE!$F$14,$M152,AO$13)="",10^12,OFFSET(CRONOPLE!$F$14,$M152,AO$13))))</f>
        <v>1000000000000</v>
      </c>
      <c r="AP152" s="181">
        <f ca="1">IF($D152&lt;&gt;"Serviço",0,IF(AND(AUTOEVENTO="Manual",$M152=1),0,IF(OFFSET(CRONOPLE!$F$14,$M152,AP$13)="",10^12,OFFSET(CRONOPLE!$F$14,$M152,AP$13))))</f>
        <v>1000000000000</v>
      </c>
      <c r="AQ152" s="181">
        <f ca="1">IF($D152&lt;&gt;"Serviço",0,IF(AND(AUTOEVENTO="Manual",$M152=1),0,IF(OFFSET(CRONOPLE!$F$14,$M152,AQ$13)="",10^12,OFFSET(CRONOPLE!$F$14,$M152,AQ$13))))</f>
        <v>1000000000000</v>
      </c>
      <c r="AR152" s="181">
        <f ca="1">IF($D152&lt;&gt;"Serviço",0,IF(AND(AUTOEVENTO="Manual",$M152=1),0,IF(OFFSET(CRONOPLE!$F$14,$M152,AR$13)="",10^12,OFFSET(CRONOPLE!$F$14,$M152,AR$13))))</f>
        <v>1000000000000</v>
      </c>
      <c r="AS152" s="181">
        <f ca="1">IF($D152&lt;&gt;"Serviço",0,IF(AND(AUTOEVENTO="Manual",$M152=1),0,IF(OFFSET(CRONOPLE!$F$14,$M152,AS$13)="",10^12,OFFSET(CRONOPLE!$F$14,$M152,AS$13))))</f>
        <v>1000000000000</v>
      </c>
      <c r="AT152" s="181">
        <f ca="1">IF($D152&lt;&gt;"Serviço",0,IF(AND(AUTOEVENTO="Manual",$M152=1),0,IF(OFFSET(CRONOPLE!$F$14,$M152,AT$13)="",10^12,OFFSET(CRONOPLE!$F$14,$M152,AT$13))))</f>
        <v>1000000000000</v>
      </c>
      <c r="AU152" s="181">
        <f ca="1">IF($D152&lt;&gt;"Serviço",0,IF(AND(AUTOEVENTO="Manual",$M152=1),0,IF(OFFSET(CRONOPLE!$F$14,$M152,AU$13)="",10^12,OFFSET(CRONOPLE!$F$14,$M152,AU$13))))</f>
        <v>1000000000000</v>
      </c>
      <c r="AV152" s="181">
        <f ca="1">IF($D152&lt;&gt;"Serviço",0,IF(AND(AUTOEVENTO="Manual",$M152=1),0,IF(OFFSET(CRONOPLE!$F$14,$M152,AV$13)="",10^12,OFFSET(CRONOPLE!$F$14,$M152,AV$13))))</f>
        <v>1000000000000</v>
      </c>
      <c r="AX152" s="182">
        <f ca="1">IF($D152&lt;&gt;"Serviço",0,IF(OR(AND(AUTOEVENTO="Manual",$M152=1),$M152&gt;(ROW(PLE.lastrow)-ROW(PLE.firstrow))),0,IF(OFFSET(PLE!$G$14,$M152,AX$13)="",10^12,OFFSET(PLE!$G$14,$M152,AX$13))))</f>
        <v>1000000000000</v>
      </c>
      <c r="AY152" s="182">
        <f ca="1">IF($D152&lt;&gt;"Serviço",0,IF(OR(AND(AUTOEVENTO="Manual",$M152=1),$M152&gt;(ROW(PLE.lastrow)-ROW(PLE.firstrow))),0,IF(OFFSET(PLE!$G$14,$M152,AY$13)="",10^12,OFFSET(PLE!$G$14,$M152,AY$13))))</f>
        <v>1000000000000</v>
      </c>
      <c r="AZ152" s="182">
        <f ca="1">IF($D152&lt;&gt;"Serviço",0,IF(OR(AND(AUTOEVENTO="Manual",$M152=1),$M152&gt;(ROW(PLE.lastrow)-ROW(PLE.firstrow))),0,IF(OFFSET(PLE!$G$14,$M152,AZ$13)="",10^12,OFFSET(PLE!$G$14,$M152,AZ$13))))</f>
        <v>1000000000000</v>
      </c>
      <c r="BA152" s="182">
        <f ca="1">IF($D152&lt;&gt;"Serviço",0,IF(OR(AND(AUTOEVENTO="Manual",$M152=1),$M152&gt;(ROW(PLE.lastrow)-ROW(PLE.firstrow))),0,IF(OFFSET(PLE!$G$14,$M152,BA$13)="",10^12,OFFSET(PLE!$G$14,$M152,BA$13))))</f>
        <v>1000000000000</v>
      </c>
      <c r="BB152" s="182">
        <f ca="1">IF($D152&lt;&gt;"Serviço",0,IF(OR(AND(AUTOEVENTO="Manual",$M152=1),$M152&gt;(ROW(PLE.lastrow)-ROW(PLE.firstrow))),0,IF(OFFSET(PLE!$G$14,$M152,BB$13)="",10^12,OFFSET(PLE!$G$14,$M152,BB$13))))</f>
        <v>1000000000000</v>
      </c>
      <c r="BC152" s="182">
        <f ca="1">IF($D152&lt;&gt;"Serviço",0,IF(OR(AND(AUTOEVENTO="Manual",$M152=1),$M152&gt;(ROW(PLE.lastrow)-ROW(PLE.firstrow))),0,IF(OFFSET(PLE!$G$14,$M152,BC$13)="",10^12,OFFSET(PLE!$G$14,$M152,BC$13))))</f>
        <v>1000000000000</v>
      </c>
      <c r="BD152" s="182">
        <f ca="1">IF($D152&lt;&gt;"Serviço",0,IF(OR(AND(AUTOEVENTO="Manual",$M152=1),$M152&gt;(ROW(PLE.lastrow)-ROW(PLE.firstrow))),0,IF(OFFSET(PLE!$G$14,$M152,BD$13)="",10^12,OFFSET(PLE!$G$14,$M152,BD$13))))</f>
        <v>1000000000000</v>
      </c>
      <c r="BE152" s="182">
        <f ca="1">IF($D152&lt;&gt;"Serviço",0,IF(OR(AND(AUTOEVENTO="Manual",$M152=1),$M152&gt;(ROW(PLE.lastrow)-ROW(PLE.firstrow))),0,IF(OFFSET(PLE!$G$14,$M152,BE$13)="",10^12,OFFSET(PLE!$G$14,$M152,BE$13))))</f>
        <v>1000000000000</v>
      </c>
      <c r="BF152" s="182">
        <f ca="1">IF($D152&lt;&gt;"Serviço",0,IF(OR(AND(AUTOEVENTO="Manual",$M152=1),$M152&gt;(ROW(PLE.lastrow)-ROW(PLE.firstrow))),0,IF(OFFSET(PLE!$G$14,$M152,BF$13)="",10^12,OFFSET(PLE!$G$14,$M152,BF$13))))</f>
        <v>1000000000000</v>
      </c>
      <c r="BG152" s="182">
        <f ca="1">IF($D152&lt;&gt;"Serviço",0,IF(OR(AND(AUTOEVENTO="Manual",$M152=1),$M152&gt;(ROW(PLE.lastrow)-ROW(PLE.firstrow))),0,IF(OFFSET(PLE!$G$14,$M152,BG$13)="",10^12,OFFSET(PLE!$G$14,$M152,BG$13))))</f>
        <v>1000000000000</v>
      </c>
    </row>
    <row r="153" spans="1:59" ht="25.5" x14ac:dyDescent="0.2">
      <c r="A153" s="7" t="str">
        <f t="shared" ca="1" si="13"/>
        <v>136</v>
      </c>
      <c r="B153" s="7" t="str">
        <f ca="1">OFFSET(ORÇAMENTO!C$15,ROW(B153)-ROW(B$15),0)</f>
        <v>S</v>
      </c>
      <c r="C153" s="7" t="str">
        <f ca="1">OFFSET(ORÇAMENTO!L$15,ROW(C153)-ROW(C$15),0)</f>
        <v>F</v>
      </c>
      <c r="D153" s="118" t="str">
        <f ca="1">OFFSET(ORÇAMENTO!N$15,ROW(D153)-ROW(D$15),0)</f>
        <v>Serviço</v>
      </c>
      <c r="E153" s="119" t="str">
        <f ca="1">OFFSET(ORÇAMENTO!O$15,ROW(E153)-ROW(E$15),0)</f>
        <v>10.1.2.</v>
      </c>
      <c r="F153" s="172" t="str">
        <f ca="1">OFFSET(ORÇAMENTO!R$15,ROW(F153)-ROW(F$15),0)</f>
        <v>6 UNIDADES DE POSTE DE CONCRETO PRE FABRICADO 20X30CM, 6M DE ALTURA - INCLUSO INSTALAÇÃO</v>
      </c>
      <c r="G153" s="173" t="str">
        <f ca="1">IF($D153&lt;&gt;"Serviço","",OFFSET(ORÇAMENTO!S$15,ROW(G153)-ROW(G$15),0))</f>
        <v>UN</v>
      </c>
      <c r="H153" s="124">
        <f ca="1">IF($D153&lt;&gt;"Serviço",0,IF(ACOMPANHAMENTO="BM",ROUND(OFFSET(ORÇAMENTO!AJ$15,ROW(H153)-ROW(H$15),0),15-13*ORÇAMENTO!$AF$7),SUMPRODUCT(($Q$12:$AA$12&lt;&gt;"")*ROUND($Q153:$AA153,15-13*ORÇAMENTO!$AF$7))))</f>
        <v>1</v>
      </c>
      <c r="I153" s="561"/>
      <c r="K153" s="174"/>
      <c r="L153" s="175" t="s">
        <v>255</v>
      </c>
      <c r="M153" s="176">
        <f ca="1">IF($D153&lt;&gt;"Serviço","",IF(AUTOEVENTO="manual",$A153,IF(ISERROR(MATCH($A153,$A$15:OFFSET($A153,-1,0),0)),MAX($M$15:OFFSET(M153,-1,0))+1,INDEX($M$15:OFFSET(M153,-1,0),MATCH($A153,$A$15:OFFSET($A153,-1,0),0)))))</f>
        <v>22</v>
      </c>
      <c r="N153" s="177" t="str">
        <f ca="1">IF($D153&lt;&gt;"Serviço","",IF(AUTOEVENTO="Manual",IF($A153=0,"&lt;-- defina o número do agrupador",OFFSET(EVENTOS!$D$14,$A153,0)),OFFSET($F$15,$A153,0)))</f>
        <v xml:space="preserve">ALAMBRADO </v>
      </c>
      <c r="O153" s="178"/>
      <c r="Q153" s="178"/>
      <c r="R153" s="179"/>
      <c r="S153" s="179"/>
      <c r="T153" s="179"/>
      <c r="U153" s="179"/>
      <c r="V153" s="179"/>
      <c r="W153" s="179"/>
      <c r="X153" s="179"/>
      <c r="Y153" s="179"/>
      <c r="Z153" s="180"/>
      <c r="AB153" s="544">
        <f ca="1">IF(AND($D153="Serviço",AB$12&lt;&gt;0,$H153&gt;0,OR(AUTOEVENTO&lt;&gt;"manual",$M153&lt;&gt;1)),
IF(Import.TipoArredondamento&lt;&gt;"TransfereGOV",
ROUND(OFFSET($P153,0,AB$13),15-13*ORÇAMENTO!$AF$7)/$H153*OFFSET(ORÇAMENTO!$X$15,ROW(AB153)-ROW(AB$15),0),
ROUND(ROUND(OFFSET($P153,0,AB$13),15-13*ORÇAMENTO!$AF$7)*OFFSET(ORÇAMENTO!$W$15,ROW(AB153)-ROW(AB$15),0),15-13*ORÇAMENTO!$AF$11)),0)</f>
        <v>0</v>
      </c>
      <c r="AC153" s="545">
        <f ca="1">IF(AND($D153="Serviço",AC$12&lt;&gt;0,$H153&gt;0,OR(AUTOEVENTO&lt;&gt;"manual",$M153&lt;&gt;1)),
IF(Import.TipoArredondamento&lt;&gt;"TransfereGOV",
ROUND(OFFSET($P153,0,AC$13),15-13*ORÇAMENTO!$AF$7)/$H153*OFFSET(ORÇAMENTO!$X$15,ROW(AC153)-ROW(AC$15),0),
ROUND(ROUND(OFFSET($P153,0,AC$13),15-13*ORÇAMENTO!$AF$7)*OFFSET(ORÇAMENTO!$W$15,ROW(AC153)-ROW(AC$15),0),15-13*ORÇAMENTO!$AF$11)),0)</f>
        <v>0</v>
      </c>
      <c r="AD153" s="545">
        <f ca="1">IF(AND($D153="Serviço",AD$12&lt;&gt;0,$H153&gt;0,OR(AUTOEVENTO&lt;&gt;"manual",$M153&lt;&gt;1)),
IF(Import.TipoArredondamento&lt;&gt;"TransfereGOV",
ROUND(OFFSET($P153,0,AD$13),15-13*ORÇAMENTO!$AF$7)/$H153*OFFSET(ORÇAMENTO!$X$15,ROW(AD153)-ROW(AD$15),0),
ROUND(ROUND(OFFSET($P153,0,AD$13),15-13*ORÇAMENTO!$AF$7)*OFFSET(ORÇAMENTO!$W$15,ROW(AD153)-ROW(AD$15),0),15-13*ORÇAMENTO!$AF$11)),0)</f>
        <v>0</v>
      </c>
      <c r="AE153" s="545">
        <f ca="1">IF(AND($D153="Serviço",AE$12&lt;&gt;0,$H153&gt;0,OR(AUTOEVENTO&lt;&gt;"manual",$M153&lt;&gt;1)),
IF(Import.TipoArredondamento&lt;&gt;"TransfereGOV",
ROUND(OFFSET($P153,0,AE$13),15-13*ORÇAMENTO!$AF$7)/$H153*OFFSET(ORÇAMENTO!$X$15,ROW(AE153)-ROW(AE$15),0),
ROUND(ROUND(OFFSET($P153,0,AE$13),15-13*ORÇAMENTO!$AF$7)*OFFSET(ORÇAMENTO!$W$15,ROW(AE153)-ROW(AE$15),0),15-13*ORÇAMENTO!$AF$11)),0)</f>
        <v>0</v>
      </c>
      <c r="AF153" s="545">
        <f ca="1">IF(AND($D153="Serviço",AF$12&lt;&gt;0,$H153&gt;0,OR(AUTOEVENTO&lt;&gt;"manual",$M153&lt;&gt;1)),
IF(Import.TipoArredondamento&lt;&gt;"TransfereGOV",
ROUND(OFFSET($P153,0,AF$13),15-13*ORÇAMENTO!$AF$7)/$H153*OFFSET(ORÇAMENTO!$X$15,ROW(AF153)-ROW(AF$15),0),
ROUND(ROUND(OFFSET($P153,0,AF$13),15-13*ORÇAMENTO!$AF$7)*OFFSET(ORÇAMENTO!$W$15,ROW(AF153)-ROW(AF$15),0),15-13*ORÇAMENTO!$AF$11)),0)</f>
        <v>0</v>
      </c>
      <c r="AG153" s="545">
        <f ca="1">IF(AND($D153="Serviço",AG$12&lt;&gt;0,$H153&gt;0,OR(AUTOEVENTO&lt;&gt;"manual",$M153&lt;&gt;1)),
IF(Import.TipoArredondamento&lt;&gt;"TransfereGOV",
ROUND(OFFSET($P153,0,AG$13),15-13*ORÇAMENTO!$AF$7)/$H153*OFFSET(ORÇAMENTO!$X$15,ROW(AG153)-ROW(AG$15),0),
ROUND(ROUND(OFFSET($P153,0,AG$13),15-13*ORÇAMENTO!$AF$7)*OFFSET(ORÇAMENTO!$W$15,ROW(AG153)-ROW(AG$15),0),15-13*ORÇAMENTO!$AF$11)),0)</f>
        <v>0</v>
      </c>
      <c r="AH153" s="545">
        <f ca="1">IF(AND($D153="Serviço",AH$12&lt;&gt;0,$H153&gt;0,OR(AUTOEVENTO&lt;&gt;"manual",$M153&lt;&gt;1)),
IF(Import.TipoArredondamento&lt;&gt;"TransfereGOV",
ROUND(OFFSET($P153,0,AH$13),15-13*ORÇAMENTO!$AF$7)/$H153*OFFSET(ORÇAMENTO!$X$15,ROW(AH153)-ROW(AH$15),0),
ROUND(ROUND(OFFSET($P153,0,AH$13),15-13*ORÇAMENTO!$AF$7)*OFFSET(ORÇAMENTO!$W$15,ROW(AH153)-ROW(AH$15),0),15-13*ORÇAMENTO!$AF$11)),0)</f>
        <v>0</v>
      </c>
      <c r="AI153" s="545">
        <f ca="1">IF(AND($D153="Serviço",AI$12&lt;&gt;0,$H153&gt;0,OR(AUTOEVENTO&lt;&gt;"manual",$M153&lt;&gt;1)),
IF(Import.TipoArredondamento&lt;&gt;"TransfereGOV",
ROUND(OFFSET($P153,0,AI$13),15-13*ORÇAMENTO!$AF$7)/$H153*OFFSET(ORÇAMENTO!$X$15,ROW(AI153)-ROW(AI$15),0),
ROUND(ROUND(OFFSET($P153,0,AI$13),15-13*ORÇAMENTO!$AF$7)*OFFSET(ORÇAMENTO!$W$15,ROW(AI153)-ROW(AI$15),0),15-13*ORÇAMENTO!$AF$11)),0)</f>
        <v>0</v>
      </c>
      <c r="AJ153" s="545">
        <f ca="1">IF(AND($D153="Serviço",AJ$12&lt;&gt;0,$H153&gt;0,OR(AUTOEVENTO&lt;&gt;"manual",$M153&lt;&gt;1)),
IF(Import.TipoArredondamento&lt;&gt;"TransfereGOV",
ROUND(OFFSET($P153,0,AJ$13),15-13*ORÇAMENTO!$AF$7)/$H153*OFFSET(ORÇAMENTO!$X$15,ROW(AJ153)-ROW(AJ$15),0),
ROUND(ROUND(OFFSET($P153,0,AJ$13),15-13*ORÇAMENTO!$AF$7)*OFFSET(ORÇAMENTO!$W$15,ROW(AJ153)-ROW(AJ$15),0),15-13*ORÇAMENTO!$AF$11)),0)</f>
        <v>0</v>
      </c>
      <c r="AK153" s="546">
        <f ca="1">IF(AND($D153="Serviço",AK$12&lt;&gt;0,$H153&gt;0,OR(AUTOEVENTO&lt;&gt;"manual",$M153&lt;&gt;1)),
IF(Import.TipoArredondamento&lt;&gt;"TransfereGOV",
ROUND(OFFSET($P153,0,AK$13),15-13*ORÇAMENTO!$AF$7)/$H153*OFFSET(ORÇAMENTO!$X$15,ROW(AK153)-ROW(AK$15),0),
ROUND(ROUND(OFFSET($P153,0,AK$13),15-13*ORÇAMENTO!$AF$7)*OFFSET(ORÇAMENTO!$W$15,ROW(AK153)-ROW(AK$15),0),15-13*ORÇAMENTO!$AF$11)),0)</f>
        <v>0</v>
      </c>
      <c r="AM153" s="181">
        <f ca="1">IF($D153&lt;&gt;"Serviço",0,IF(AND(AUTOEVENTO="Manual",$M153=1),0,IF(OFFSET(CRONOPLE!$F$14,$M153,AM$13)="",10^12,OFFSET(CRONOPLE!$F$14,$M153,AM$13))))</f>
        <v>1000000000000</v>
      </c>
      <c r="AN153" s="181">
        <f ca="1">IF($D153&lt;&gt;"Serviço",0,IF(AND(AUTOEVENTO="Manual",$M153=1),0,IF(OFFSET(CRONOPLE!$F$14,$M153,AN$13)="",10^12,OFFSET(CRONOPLE!$F$14,$M153,AN$13))))</f>
        <v>1000000000000</v>
      </c>
      <c r="AO153" s="181">
        <f ca="1">IF($D153&lt;&gt;"Serviço",0,IF(AND(AUTOEVENTO="Manual",$M153=1),0,IF(OFFSET(CRONOPLE!$F$14,$M153,AO$13)="",10^12,OFFSET(CRONOPLE!$F$14,$M153,AO$13))))</f>
        <v>1000000000000</v>
      </c>
      <c r="AP153" s="181">
        <f ca="1">IF($D153&lt;&gt;"Serviço",0,IF(AND(AUTOEVENTO="Manual",$M153=1),0,IF(OFFSET(CRONOPLE!$F$14,$M153,AP$13)="",10^12,OFFSET(CRONOPLE!$F$14,$M153,AP$13))))</f>
        <v>1000000000000</v>
      </c>
      <c r="AQ153" s="181">
        <f ca="1">IF($D153&lt;&gt;"Serviço",0,IF(AND(AUTOEVENTO="Manual",$M153=1),0,IF(OFFSET(CRONOPLE!$F$14,$M153,AQ$13)="",10^12,OFFSET(CRONOPLE!$F$14,$M153,AQ$13))))</f>
        <v>1000000000000</v>
      </c>
      <c r="AR153" s="181">
        <f ca="1">IF($D153&lt;&gt;"Serviço",0,IF(AND(AUTOEVENTO="Manual",$M153=1),0,IF(OFFSET(CRONOPLE!$F$14,$M153,AR$13)="",10^12,OFFSET(CRONOPLE!$F$14,$M153,AR$13))))</f>
        <v>1000000000000</v>
      </c>
      <c r="AS153" s="181">
        <f ca="1">IF($D153&lt;&gt;"Serviço",0,IF(AND(AUTOEVENTO="Manual",$M153=1),0,IF(OFFSET(CRONOPLE!$F$14,$M153,AS$13)="",10^12,OFFSET(CRONOPLE!$F$14,$M153,AS$13))))</f>
        <v>1000000000000</v>
      </c>
      <c r="AT153" s="181">
        <f ca="1">IF($D153&lt;&gt;"Serviço",0,IF(AND(AUTOEVENTO="Manual",$M153=1),0,IF(OFFSET(CRONOPLE!$F$14,$M153,AT$13)="",10^12,OFFSET(CRONOPLE!$F$14,$M153,AT$13))))</f>
        <v>1000000000000</v>
      </c>
      <c r="AU153" s="181">
        <f ca="1">IF($D153&lt;&gt;"Serviço",0,IF(AND(AUTOEVENTO="Manual",$M153=1),0,IF(OFFSET(CRONOPLE!$F$14,$M153,AU$13)="",10^12,OFFSET(CRONOPLE!$F$14,$M153,AU$13))))</f>
        <v>1000000000000</v>
      </c>
      <c r="AV153" s="181">
        <f ca="1">IF($D153&lt;&gt;"Serviço",0,IF(AND(AUTOEVENTO="Manual",$M153=1),0,IF(OFFSET(CRONOPLE!$F$14,$M153,AV$13)="",10^12,OFFSET(CRONOPLE!$F$14,$M153,AV$13))))</f>
        <v>1000000000000</v>
      </c>
      <c r="AX153" s="182">
        <f ca="1">IF($D153&lt;&gt;"Serviço",0,IF(OR(AND(AUTOEVENTO="Manual",$M153=1),$M153&gt;(ROW(PLE.lastrow)-ROW(PLE.firstrow))),0,IF(OFFSET(PLE!$G$14,$M153,AX$13)="",10^12,OFFSET(PLE!$G$14,$M153,AX$13))))</f>
        <v>1000000000000</v>
      </c>
      <c r="AY153" s="182">
        <f ca="1">IF($D153&lt;&gt;"Serviço",0,IF(OR(AND(AUTOEVENTO="Manual",$M153=1),$M153&gt;(ROW(PLE.lastrow)-ROW(PLE.firstrow))),0,IF(OFFSET(PLE!$G$14,$M153,AY$13)="",10^12,OFFSET(PLE!$G$14,$M153,AY$13))))</f>
        <v>1000000000000</v>
      </c>
      <c r="AZ153" s="182">
        <f ca="1">IF($D153&lt;&gt;"Serviço",0,IF(OR(AND(AUTOEVENTO="Manual",$M153=1),$M153&gt;(ROW(PLE.lastrow)-ROW(PLE.firstrow))),0,IF(OFFSET(PLE!$G$14,$M153,AZ$13)="",10^12,OFFSET(PLE!$G$14,$M153,AZ$13))))</f>
        <v>1000000000000</v>
      </c>
      <c r="BA153" s="182">
        <f ca="1">IF($D153&lt;&gt;"Serviço",0,IF(OR(AND(AUTOEVENTO="Manual",$M153=1),$M153&gt;(ROW(PLE.lastrow)-ROW(PLE.firstrow))),0,IF(OFFSET(PLE!$G$14,$M153,BA$13)="",10^12,OFFSET(PLE!$G$14,$M153,BA$13))))</f>
        <v>1000000000000</v>
      </c>
      <c r="BB153" s="182">
        <f ca="1">IF($D153&lt;&gt;"Serviço",0,IF(OR(AND(AUTOEVENTO="Manual",$M153=1),$M153&gt;(ROW(PLE.lastrow)-ROW(PLE.firstrow))),0,IF(OFFSET(PLE!$G$14,$M153,BB$13)="",10^12,OFFSET(PLE!$G$14,$M153,BB$13))))</f>
        <v>1000000000000</v>
      </c>
      <c r="BC153" s="182">
        <f ca="1">IF($D153&lt;&gt;"Serviço",0,IF(OR(AND(AUTOEVENTO="Manual",$M153=1),$M153&gt;(ROW(PLE.lastrow)-ROW(PLE.firstrow))),0,IF(OFFSET(PLE!$G$14,$M153,BC$13)="",10^12,OFFSET(PLE!$G$14,$M153,BC$13))))</f>
        <v>1000000000000</v>
      </c>
      <c r="BD153" s="182">
        <f ca="1">IF($D153&lt;&gt;"Serviço",0,IF(OR(AND(AUTOEVENTO="Manual",$M153=1),$M153&gt;(ROW(PLE.lastrow)-ROW(PLE.firstrow))),0,IF(OFFSET(PLE!$G$14,$M153,BD$13)="",10^12,OFFSET(PLE!$G$14,$M153,BD$13))))</f>
        <v>1000000000000</v>
      </c>
      <c r="BE153" s="182">
        <f ca="1">IF($D153&lt;&gt;"Serviço",0,IF(OR(AND(AUTOEVENTO="Manual",$M153=1),$M153&gt;(ROW(PLE.lastrow)-ROW(PLE.firstrow))),0,IF(OFFSET(PLE!$G$14,$M153,BE$13)="",10^12,OFFSET(PLE!$G$14,$M153,BE$13))))</f>
        <v>1000000000000</v>
      </c>
      <c r="BF153" s="182">
        <f ca="1">IF($D153&lt;&gt;"Serviço",0,IF(OR(AND(AUTOEVENTO="Manual",$M153=1),$M153&gt;(ROW(PLE.lastrow)-ROW(PLE.firstrow))),0,IF(OFFSET(PLE!$G$14,$M153,BF$13)="",10^12,OFFSET(PLE!$G$14,$M153,BF$13))))</f>
        <v>1000000000000</v>
      </c>
      <c r="BG153" s="182">
        <f ca="1">IF($D153&lt;&gt;"Serviço",0,IF(OR(AND(AUTOEVENTO="Manual",$M153=1),$M153&gt;(ROW(PLE.lastrow)-ROW(PLE.firstrow))),0,IF(OFFSET(PLE!$G$14,$M153,BG$13)="",10^12,OFFSET(PLE!$G$14,$M153,BG$13))))</f>
        <v>1000000000000</v>
      </c>
    </row>
    <row r="154" spans="1:59" ht="25.5" x14ac:dyDescent="0.2">
      <c r="A154" s="7" t="str">
        <f t="shared" ca="1" si="13"/>
        <v>136</v>
      </c>
      <c r="B154" s="7" t="str">
        <f ca="1">OFFSET(ORÇAMENTO!C$15,ROW(B154)-ROW(B$15),0)</f>
        <v>S</v>
      </c>
      <c r="C154" s="7" t="str">
        <f ca="1">OFFSET(ORÇAMENTO!L$15,ROW(C154)-ROW(C$15),0)</f>
        <v>F</v>
      </c>
      <c r="D154" s="118" t="str">
        <f ca="1">OFFSET(ORÇAMENTO!N$15,ROW(D154)-ROW(D$15),0)</f>
        <v>Serviço</v>
      </c>
      <c r="E154" s="119" t="str">
        <f ca="1">OFFSET(ORÇAMENTO!O$15,ROW(E154)-ROW(E$15),0)</f>
        <v>10.1.3.</v>
      </c>
      <c r="F154" s="172" t="str">
        <f ca="1">OFFSET(ORÇAMENTO!R$15,ROW(F154)-ROW(F$15),0)</f>
        <v xml:space="preserve">38 UNIDADES DE POSTE DE CONCRETO PRE FABRICADO 15X15CM, 5M DE ALTURA - INCLUSO INSTALAÇÃO </v>
      </c>
      <c r="G154" s="173" t="str">
        <f ca="1">IF($D154&lt;&gt;"Serviço","",OFFSET(ORÇAMENTO!S$15,ROW(G154)-ROW(G$15),0))</f>
        <v>UN</v>
      </c>
      <c r="H154" s="124">
        <f ca="1">IF($D154&lt;&gt;"Serviço",0,IF(ACOMPANHAMENTO="BM",ROUND(OFFSET(ORÇAMENTO!AJ$15,ROW(H154)-ROW(H$15),0),15-13*ORÇAMENTO!$AF$7),SUMPRODUCT(($Q$12:$AA$12&lt;&gt;"")*ROUND($Q154:$AA154,15-13*ORÇAMENTO!$AF$7))))</f>
        <v>1</v>
      </c>
      <c r="I154" s="561"/>
      <c r="K154" s="174"/>
      <c r="L154" s="175" t="s">
        <v>255</v>
      </c>
      <c r="M154" s="176">
        <f ca="1">IF($D154&lt;&gt;"Serviço","",IF(AUTOEVENTO="manual",$A154,IF(ISERROR(MATCH($A154,$A$15:OFFSET($A154,-1,0),0)),MAX($M$15:OFFSET(M154,-1,0))+1,INDEX($M$15:OFFSET(M154,-1,0),MATCH($A154,$A$15:OFFSET($A154,-1,0),0)))))</f>
        <v>22</v>
      </c>
      <c r="N154" s="177" t="str">
        <f ca="1">IF($D154&lt;&gt;"Serviço","",IF(AUTOEVENTO="Manual",IF($A154=0,"&lt;-- defina o número do agrupador",OFFSET(EVENTOS!$D$14,$A154,0)),OFFSET($F$15,$A154,0)))</f>
        <v xml:space="preserve">ALAMBRADO </v>
      </c>
      <c r="O154" s="178"/>
      <c r="Q154" s="178"/>
      <c r="R154" s="179"/>
      <c r="S154" s="179"/>
      <c r="T154" s="179"/>
      <c r="U154" s="179"/>
      <c r="V154" s="179"/>
      <c r="W154" s="179"/>
      <c r="X154" s="179"/>
      <c r="Y154" s="179"/>
      <c r="Z154" s="180"/>
      <c r="AB154" s="544">
        <f ca="1">IF(AND($D154="Serviço",AB$12&lt;&gt;0,$H154&gt;0,OR(AUTOEVENTO&lt;&gt;"manual",$M154&lt;&gt;1)),
IF(Import.TipoArredondamento&lt;&gt;"TransfereGOV",
ROUND(OFFSET($P154,0,AB$13),15-13*ORÇAMENTO!$AF$7)/$H154*OFFSET(ORÇAMENTO!$X$15,ROW(AB154)-ROW(AB$15),0),
ROUND(ROUND(OFFSET($P154,0,AB$13),15-13*ORÇAMENTO!$AF$7)*OFFSET(ORÇAMENTO!$W$15,ROW(AB154)-ROW(AB$15),0),15-13*ORÇAMENTO!$AF$11)),0)</f>
        <v>0</v>
      </c>
      <c r="AC154" s="545">
        <f ca="1">IF(AND($D154="Serviço",AC$12&lt;&gt;0,$H154&gt;0,OR(AUTOEVENTO&lt;&gt;"manual",$M154&lt;&gt;1)),
IF(Import.TipoArredondamento&lt;&gt;"TransfereGOV",
ROUND(OFFSET($P154,0,AC$13),15-13*ORÇAMENTO!$AF$7)/$H154*OFFSET(ORÇAMENTO!$X$15,ROW(AC154)-ROW(AC$15),0),
ROUND(ROUND(OFFSET($P154,0,AC$13),15-13*ORÇAMENTO!$AF$7)*OFFSET(ORÇAMENTO!$W$15,ROW(AC154)-ROW(AC$15),0),15-13*ORÇAMENTO!$AF$11)),0)</f>
        <v>0</v>
      </c>
      <c r="AD154" s="545">
        <f ca="1">IF(AND($D154="Serviço",AD$12&lt;&gt;0,$H154&gt;0,OR(AUTOEVENTO&lt;&gt;"manual",$M154&lt;&gt;1)),
IF(Import.TipoArredondamento&lt;&gt;"TransfereGOV",
ROUND(OFFSET($P154,0,AD$13),15-13*ORÇAMENTO!$AF$7)/$H154*OFFSET(ORÇAMENTO!$X$15,ROW(AD154)-ROW(AD$15),0),
ROUND(ROUND(OFFSET($P154,0,AD$13),15-13*ORÇAMENTO!$AF$7)*OFFSET(ORÇAMENTO!$W$15,ROW(AD154)-ROW(AD$15),0),15-13*ORÇAMENTO!$AF$11)),0)</f>
        <v>0</v>
      </c>
      <c r="AE154" s="545">
        <f ca="1">IF(AND($D154="Serviço",AE$12&lt;&gt;0,$H154&gt;0,OR(AUTOEVENTO&lt;&gt;"manual",$M154&lt;&gt;1)),
IF(Import.TipoArredondamento&lt;&gt;"TransfereGOV",
ROUND(OFFSET($P154,0,AE$13),15-13*ORÇAMENTO!$AF$7)/$H154*OFFSET(ORÇAMENTO!$X$15,ROW(AE154)-ROW(AE$15),0),
ROUND(ROUND(OFFSET($P154,0,AE$13),15-13*ORÇAMENTO!$AF$7)*OFFSET(ORÇAMENTO!$W$15,ROW(AE154)-ROW(AE$15),0),15-13*ORÇAMENTO!$AF$11)),0)</f>
        <v>0</v>
      </c>
      <c r="AF154" s="545">
        <f ca="1">IF(AND($D154="Serviço",AF$12&lt;&gt;0,$H154&gt;0,OR(AUTOEVENTO&lt;&gt;"manual",$M154&lt;&gt;1)),
IF(Import.TipoArredondamento&lt;&gt;"TransfereGOV",
ROUND(OFFSET($P154,0,AF$13),15-13*ORÇAMENTO!$AF$7)/$H154*OFFSET(ORÇAMENTO!$X$15,ROW(AF154)-ROW(AF$15),0),
ROUND(ROUND(OFFSET($P154,0,AF$13),15-13*ORÇAMENTO!$AF$7)*OFFSET(ORÇAMENTO!$W$15,ROW(AF154)-ROW(AF$15),0),15-13*ORÇAMENTO!$AF$11)),0)</f>
        <v>0</v>
      </c>
      <c r="AG154" s="545">
        <f ca="1">IF(AND($D154="Serviço",AG$12&lt;&gt;0,$H154&gt;0,OR(AUTOEVENTO&lt;&gt;"manual",$M154&lt;&gt;1)),
IF(Import.TipoArredondamento&lt;&gt;"TransfereGOV",
ROUND(OFFSET($P154,0,AG$13),15-13*ORÇAMENTO!$AF$7)/$H154*OFFSET(ORÇAMENTO!$X$15,ROW(AG154)-ROW(AG$15),0),
ROUND(ROUND(OFFSET($P154,0,AG$13),15-13*ORÇAMENTO!$AF$7)*OFFSET(ORÇAMENTO!$W$15,ROW(AG154)-ROW(AG$15),0),15-13*ORÇAMENTO!$AF$11)),0)</f>
        <v>0</v>
      </c>
      <c r="AH154" s="545">
        <f ca="1">IF(AND($D154="Serviço",AH$12&lt;&gt;0,$H154&gt;0,OR(AUTOEVENTO&lt;&gt;"manual",$M154&lt;&gt;1)),
IF(Import.TipoArredondamento&lt;&gt;"TransfereGOV",
ROUND(OFFSET($P154,0,AH$13),15-13*ORÇAMENTO!$AF$7)/$H154*OFFSET(ORÇAMENTO!$X$15,ROW(AH154)-ROW(AH$15),0),
ROUND(ROUND(OFFSET($P154,0,AH$13),15-13*ORÇAMENTO!$AF$7)*OFFSET(ORÇAMENTO!$W$15,ROW(AH154)-ROW(AH$15),0),15-13*ORÇAMENTO!$AF$11)),0)</f>
        <v>0</v>
      </c>
      <c r="AI154" s="545">
        <f ca="1">IF(AND($D154="Serviço",AI$12&lt;&gt;0,$H154&gt;0,OR(AUTOEVENTO&lt;&gt;"manual",$M154&lt;&gt;1)),
IF(Import.TipoArredondamento&lt;&gt;"TransfereGOV",
ROUND(OFFSET($P154,0,AI$13),15-13*ORÇAMENTO!$AF$7)/$H154*OFFSET(ORÇAMENTO!$X$15,ROW(AI154)-ROW(AI$15),0),
ROUND(ROUND(OFFSET($P154,0,AI$13),15-13*ORÇAMENTO!$AF$7)*OFFSET(ORÇAMENTO!$W$15,ROW(AI154)-ROW(AI$15),0),15-13*ORÇAMENTO!$AF$11)),0)</f>
        <v>0</v>
      </c>
      <c r="AJ154" s="545">
        <f ca="1">IF(AND($D154="Serviço",AJ$12&lt;&gt;0,$H154&gt;0,OR(AUTOEVENTO&lt;&gt;"manual",$M154&lt;&gt;1)),
IF(Import.TipoArredondamento&lt;&gt;"TransfereGOV",
ROUND(OFFSET($P154,0,AJ$13),15-13*ORÇAMENTO!$AF$7)/$H154*OFFSET(ORÇAMENTO!$X$15,ROW(AJ154)-ROW(AJ$15),0),
ROUND(ROUND(OFFSET($P154,0,AJ$13),15-13*ORÇAMENTO!$AF$7)*OFFSET(ORÇAMENTO!$W$15,ROW(AJ154)-ROW(AJ$15),0),15-13*ORÇAMENTO!$AF$11)),0)</f>
        <v>0</v>
      </c>
      <c r="AK154" s="546">
        <f ca="1">IF(AND($D154="Serviço",AK$12&lt;&gt;0,$H154&gt;0,OR(AUTOEVENTO&lt;&gt;"manual",$M154&lt;&gt;1)),
IF(Import.TipoArredondamento&lt;&gt;"TransfereGOV",
ROUND(OFFSET($P154,0,AK$13),15-13*ORÇAMENTO!$AF$7)/$H154*OFFSET(ORÇAMENTO!$X$15,ROW(AK154)-ROW(AK$15),0),
ROUND(ROUND(OFFSET($P154,0,AK$13),15-13*ORÇAMENTO!$AF$7)*OFFSET(ORÇAMENTO!$W$15,ROW(AK154)-ROW(AK$15),0),15-13*ORÇAMENTO!$AF$11)),0)</f>
        <v>0</v>
      </c>
      <c r="AM154" s="181">
        <f ca="1">IF($D154&lt;&gt;"Serviço",0,IF(AND(AUTOEVENTO="Manual",$M154=1),0,IF(OFFSET(CRONOPLE!$F$14,$M154,AM$13)="",10^12,OFFSET(CRONOPLE!$F$14,$M154,AM$13))))</f>
        <v>1000000000000</v>
      </c>
      <c r="AN154" s="181">
        <f ca="1">IF($D154&lt;&gt;"Serviço",0,IF(AND(AUTOEVENTO="Manual",$M154=1),0,IF(OFFSET(CRONOPLE!$F$14,$M154,AN$13)="",10^12,OFFSET(CRONOPLE!$F$14,$M154,AN$13))))</f>
        <v>1000000000000</v>
      </c>
      <c r="AO154" s="181">
        <f ca="1">IF($D154&lt;&gt;"Serviço",0,IF(AND(AUTOEVENTO="Manual",$M154=1),0,IF(OFFSET(CRONOPLE!$F$14,$M154,AO$13)="",10^12,OFFSET(CRONOPLE!$F$14,$M154,AO$13))))</f>
        <v>1000000000000</v>
      </c>
      <c r="AP154" s="181">
        <f ca="1">IF($D154&lt;&gt;"Serviço",0,IF(AND(AUTOEVENTO="Manual",$M154=1),0,IF(OFFSET(CRONOPLE!$F$14,$M154,AP$13)="",10^12,OFFSET(CRONOPLE!$F$14,$M154,AP$13))))</f>
        <v>1000000000000</v>
      </c>
      <c r="AQ154" s="181">
        <f ca="1">IF($D154&lt;&gt;"Serviço",0,IF(AND(AUTOEVENTO="Manual",$M154=1),0,IF(OFFSET(CRONOPLE!$F$14,$M154,AQ$13)="",10^12,OFFSET(CRONOPLE!$F$14,$M154,AQ$13))))</f>
        <v>1000000000000</v>
      </c>
      <c r="AR154" s="181">
        <f ca="1">IF($D154&lt;&gt;"Serviço",0,IF(AND(AUTOEVENTO="Manual",$M154=1),0,IF(OFFSET(CRONOPLE!$F$14,$M154,AR$13)="",10^12,OFFSET(CRONOPLE!$F$14,$M154,AR$13))))</f>
        <v>1000000000000</v>
      </c>
      <c r="AS154" s="181">
        <f ca="1">IF($D154&lt;&gt;"Serviço",0,IF(AND(AUTOEVENTO="Manual",$M154=1),0,IF(OFFSET(CRONOPLE!$F$14,$M154,AS$13)="",10^12,OFFSET(CRONOPLE!$F$14,$M154,AS$13))))</f>
        <v>1000000000000</v>
      </c>
      <c r="AT154" s="181">
        <f ca="1">IF($D154&lt;&gt;"Serviço",0,IF(AND(AUTOEVENTO="Manual",$M154=1),0,IF(OFFSET(CRONOPLE!$F$14,$M154,AT$13)="",10^12,OFFSET(CRONOPLE!$F$14,$M154,AT$13))))</f>
        <v>1000000000000</v>
      </c>
      <c r="AU154" s="181">
        <f ca="1">IF($D154&lt;&gt;"Serviço",0,IF(AND(AUTOEVENTO="Manual",$M154=1),0,IF(OFFSET(CRONOPLE!$F$14,$M154,AU$13)="",10^12,OFFSET(CRONOPLE!$F$14,$M154,AU$13))))</f>
        <v>1000000000000</v>
      </c>
      <c r="AV154" s="181">
        <f ca="1">IF($D154&lt;&gt;"Serviço",0,IF(AND(AUTOEVENTO="Manual",$M154=1),0,IF(OFFSET(CRONOPLE!$F$14,$M154,AV$13)="",10^12,OFFSET(CRONOPLE!$F$14,$M154,AV$13))))</f>
        <v>1000000000000</v>
      </c>
      <c r="AX154" s="182">
        <f ca="1">IF($D154&lt;&gt;"Serviço",0,IF(OR(AND(AUTOEVENTO="Manual",$M154=1),$M154&gt;(ROW(PLE.lastrow)-ROW(PLE.firstrow))),0,IF(OFFSET(PLE!$G$14,$M154,AX$13)="",10^12,OFFSET(PLE!$G$14,$M154,AX$13))))</f>
        <v>1000000000000</v>
      </c>
      <c r="AY154" s="182">
        <f ca="1">IF($D154&lt;&gt;"Serviço",0,IF(OR(AND(AUTOEVENTO="Manual",$M154=1),$M154&gt;(ROW(PLE.lastrow)-ROW(PLE.firstrow))),0,IF(OFFSET(PLE!$G$14,$M154,AY$13)="",10^12,OFFSET(PLE!$G$14,$M154,AY$13))))</f>
        <v>1000000000000</v>
      </c>
      <c r="AZ154" s="182">
        <f ca="1">IF($D154&lt;&gt;"Serviço",0,IF(OR(AND(AUTOEVENTO="Manual",$M154=1),$M154&gt;(ROW(PLE.lastrow)-ROW(PLE.firstrow))),0,IF(OFFSET(PLE!$G$14,$M154,AZ$13)="",10^12,OFFSET(PLE!$G$14,$M154,AZ$13))))</f>
        <v>1000000000000</v>
      </c>
      <c r="BA154" s="182">
        <f ca="1">IF($D154&lt;&gt;"Serviço",0,IF(OR(AND(AUTOEVENTO="Manual",$M154=1),$M154&gt;(ROW(PLE.lastrow)-ROW(PLE.firstrow))),0,IF(OFFSET(PLE!$G$14,$M154,BA$13)="",10^12,OFFSET(PLE!$G$14,$M154,BA$13))))</f>
        <v>1000000000000</v>
      </c>
      <c r="BB154" s="182">
        <f ca="1">IF($D154&lt;&gt;"Serviço",0,IF(OR(AND(AUTOEVENTO="Manual",$M154=1),$M154&gt;(ROW(PLE.lastrow)-ROW(PLE.firstrow))),0,IF(OFFSET(PLE!$G$14,$M154,BB$13)="",10^12,OFFSET(PLE!$G$14,$M154,BB$13))))</f>
        <v>1000000000000</v>
      </c>
      <c r="BC154" s="182">
        <f ca="1">IF($D154&lt;&gt;"Serviço",0,IF(OR(AND(AUTOEVENTO="Manual",$M154=1),$M154&gt;(ROW(PLE.lastrow)-ROW(PLE.firstrow))),0,IF(OFFSET(PLE!$G$14,$M154,BC$13)="",10^12,OFFSET(PLE!$G$14,$M154,BC$13))))</f>
        <v>1000000000000</v>
      </c>
      <c r="BD154" s="182">
        <f ca="1">IF($D154&lt;&gt;"Serviço",0,IF(OR(AND(AUTOEVENTO="Manual",$M154=1),$M154&gt;(ROW(PLE.lastrow)-ROW(PLE.firstrow))),0,IF(OFFSET(PLE!$G$14,$M154,BD$13)="",10^12,OFFSET(PLE!$G$14,$M154,BD$13))))</f>
        <v>1000000000000</v>
      </c>
      <c r="BE154" s="182">
        <f ca="1">IF($D154&lt;&gt;"Serviço",0,IF(OR(AND(AUTOEVENTO="Manual",$M154=1),$M154&gt;(ROW(PLE.lastrow)-ROW(PLE.firstrow))),0,IF(OFFSET(PLE!$G$14,$M154,BE$13)="",10^12,OFFSET(PLE!$G$14,$M154,BE$13))))</f>
        <v>1000000000000</v>
      </c>
      <c r="BF154" s="182">
        <f ca="1">IF($D154&lt;&gt;"Serviço",0,IF(OR(AND(AUTOEVENTO="Manual",$M154=1),$M154&gt;(ROW(PLE.lastrow)-ROW(PLE.firstrow))),0,IF(OFFSET(PLE!$G$14,$M154,BF$13)="",10^12,OFFSET(PLE!$G$14,$M154,BF$13))))</f>
        <v>1000000000000</v>
      </c>
      <c r="BG154" s="182">
        <f ca="1">IF($D154&lt;&gt;"Serviço",0,IF(OR(AND(AUTOEVENTO="Manual",$M154=1),$M154&gt;(ROW(PLE.lastrow)-ROW(PLE.firstrow))),0,IF(OFFSET(PLE!$G$14,$M154,BG$13)="",10^12,OFFSET(PLE!$G$14,$M154,BG$13))))</f>
        <v>1000000000000</v>
      </c>
    </row>
    <row r="155" spans="1:59" ht="25.5" x14ac:dyDescent="0.2">
      <c r="A155" s="7" t="str">
        <f t="shared" ca="1" si="13"/>
        <v>136</v>
      </c>
      <c r="B155" s="7" t="str">
        <f ca="1">OFFSET(ORÇAMENTO!C$15,ROW(B155)-ROW(B$15),0)</f>
        <v>S</v>
      </c>
      <c r="C155" s="7" t="str">
        <f ca="1">OFFSET(ORÇAMENTO!L$15,ROW(C155)-ROW(C$15),0)</f>
        <v>F</v>
      </c>
      <c r="D155" s="118" t="str">
        <f ca="1">OFFSET(ORÇAMENTO!N$15,ROW(D155)-ROW(D$15),0)</f>
        <v>Serviço</v>
      </c>
      <c r="E155" s="119" t="str">
        <f ca="1">OFFSET(ORÇAMENTO!O$15,ROW(E155)-ROW(E$15),0)</f>
        <v>10.1.4.</v>
      </c>
      <c r="F155" s="172" t="str">
        <f ca="1">OFFSET(ORÇAMENTO!R$15,ROW(F155)-ROW(F$15),0)</f>
        <v>LIMPEZA MANUAL DE VEGETAÇÃO EM TERRENO COM ENXADA. AF_03/2024</v>
      </c>
      <c r="G155" s="173" t="str">
        <f ca="1">IF($D155&lt;&gt;"Serviço","",OFFSET(ORÇAMENTO!S$15,ROW(G155)-ROW(G$15),0))</f>
        <v>M2</v>
      </c>
      <c r="H155" s="124">
        <f ca="1">IF($D155&lt;&gt;"Serviço",0,IF(ACOMPANHAMENTO="BM",ROUND(OFFSET(ORÇAMENTO!AJ$15,ROW(H155)-ROW(H$15),0),15-13*ORÇAMENTO!$AF$7),SUMPRODUCT(($Q$12:$AA$12&lt;&gt;"")*ROUND($Q155:$AA155,15-13*ORÇAMENTO!$AF$7))))</f>
        <v>75</v>
      </c>
      <c r="I155" s="561"/>
      <c r="K155" s="174"/>
      <c r="L155" s="175" t="s">
        <v>255</v>
      </c>
      <c r="M155" s="176">
        <f ca="1">IF($D155&lt;&gt;"Serviço","",IF(AUTOEVENTO="manual",$A155,IF(ISERROR(MATCH($A155,$A$15:OFFSET($A155,-1,0),0)),MAX($M$15:OFFSET(M155,-1,0))+1,INDEX($M$15:OFFSET(M155,-1,0),MATCH($A155,$A$15:OFFSET($A155,-1,0),0)))))</f>
        <v>22</v>
      </c>
      <c r="N155" s="177" t="str">
        <f ca="1">IF($D155&lt;&gt;"Serviço","",IF(AUTOEVENTO="Manual",IF($A155=0,"&lt;-- defina o número do agrupador",OFFSET(EVENTOS!$D$14,$A155,0)),OFFSET($F$15,$A155,0)))</f>
        <v xml:space="preserve">ALAMBRADO </v>
      </c>
      <c r="O155" s="178"/>
      <c r="Q155" s="178"/>
      <c r="R155" s="179"/>
      <c r="S155" s="179"/>
      <c r="T155" s="179"/>
      <c r="U155" s="179"/>
      <c r="V155" s="179"/>
      <c r="W155" s="179"/>
      <c r="X155" s="179"/>
      <c r="Y155" s="179"/>
      <c r="Z155" s="180"/>
      <c r="AB155" s="544">
        <f ca="1">IF(AND($D155="Serviço",AB$12&lt;&gt;0,$H155&gt;0,OR(AUTOEVENTO&lt;&gt;"manual",$M155&lt;&gt;1)),
IF(Import.TipoArredondamento&lt;&gt;"TransfereGOV",
ROUND(OFFSET($P155,0,AB$13),15-13*ORÇAMENTO!$AF$7)/$H155*OFFSET(ORÇAMENTO!$X$15,ROW(AB155)-ROW(AB$15),0),
ROUND(ROUND(OFFSET($P155,0,AB$13),15-13*ORÇAMENTO!$AF$7)*OFFSET(ORÇAMENTO!$W$15,ROW(AB155)-ROW(AB$15),0),15-13*ORÇAMENTO!$AF$11)),0)</f>
        <v>0</v>
      </c>
      <c r="AC155" s="545">
        <f ca="1">IF(AND($D155="Serviço",AC$12&lt;&gt;0,$H155&gt;0,OR(AUTOEVENTO&lt;&gt;"manual",$M155&lt;&gt;1)),
IF(Import.TipoArredondamento&lt;&gt;"TransfereGOV",
ROUND(OFFSET($P155,0,AC$13),15-13*ORÇAMENTO!$AF$7)/$H155*OFFSET(ORÇAMENTO!$X$15,ROW(AC155)-ROW(AC$15),0),
ROUND(ROUND(OFFSET($P155,0,AC$13),15-13*ORÇAMENTO!$AF$7)*OFFSET(ORÇAMENTO!$W$15,ROW(AC155)-ROW(AC$15),0),15-13*ORÇAMENTO!$AF$11)),0)</f>
        <v>0</v>
      </c>
      <c r="AD155" s="545">
        <f ca="1">IF(AND($D155="Serviço",AD$12&lt;&gt;0,$H155&gt;0,OR(AUTOEVENTO&lt;&gt;"manual",$M155&lt;&gt;1)),
IF(Import.TipoArredondamento&lt;&gt;"TransfereGOV",
ROUND(OFFSET($P155,0,AD$13),15-13*ORÇAMENTO!$AF$7)/$H155*OFFSET(ORÇAMENTO!$X$15,ROW(AD155)-ROW(AD$15),0),
ROUND(ROUND(OFFSET($P155,0,AD$13),15-13*ORÇAMENTO!$AF$7)*OFFSET(ORÇAMENTO!$W$15,ROW(AD155)-ROW(AD$15),0),15-13*ORÇAMENTO!$AF$11)),0)</f>
        <v>0</v>
      </c>
      <c r="AE155" s="545">
        <f ca="1">IF(AND($D155="Serviço",AE$12&lt;&gt;0,$H155&gt;0,OR(AUTOEVENTO&lt;&gt;"manual",$M155&lt;&gt;1)),
IF(Import.TipoArredondamento&lt;&gt;"TransfereGOV",
ROUND(OFFSET($P155,0,AE$13),15-13*ORÇAMENTO!$AF$7)/$H155*OFFSET(ORÇAMENTO!$X$15,ROW(AE155)-ROW(AE$15),0),
ROUND(ROUND(OFFSET($P155,0,AE$13),15-13*ORÇAMENTO!$AF$7)*OFFSET(ORÇAMENTO!$W$15,ROW(AE155)-ROW(AE$15),0),15-13*ORÇAMENTO!$AF$11)),0)</f>
        <v>0</v>
      </c>
      <c r="AF155" s="545">
        <f ca="1">IF(AND($D155="Serviço",AF$12&lt;&gt;0,$H155&gt;0,OR(AUTOEVENTO&lt;&gt;"manual",$M155&lt;&gt;1)),
IF(Import.TipoArredondamento&lt;&gt;"TransfereGOV",
ROUND(OFFSET($P155,0,AF$13),15-13*ORÇAMENTO!$AF$7)/$H155*OFFSET(ORÇAMENTO!$X$15,ROW(AF155)-ROW(AF$15),0),
ROUND(ROUND(OFFSET($P155,0,AF$13),15-13*ORÇAMENTO!$AF$7)*OFFSET(ORÇAMENTO!$W$15,ROW(AF155)-ROW(AF$15),0),15-13*ORÇAMENTO!$AF$11)),0)</f>
        <v>0</v>
      </c>
      <c r="AG155" s="545">
        <f ca="1">IF(AND($D155="Serviço",AG$12&lt;&gt;0,$H155&gt;0,OR(AUTOEVENTO&lt;&gt;"manual",$M155&lt;&gt;1)),
IF(Import.TipoArredondamento&lt;&gt;"TransfereGOV",
ROUND(OFFSET($P155,0,AG$13),15-13*ORÇAMENTO!$AF$7)/$H155*OFFSET(ORÇAMENTO!$X$15,ROW(AG155)-ROW(AG$15),0),
ROUND(ROUND(OFFSET($P155,0,AG$13),15-13*ORÇAMENTO!$AF$7)*OFFSET(ORÇAMENTO!$W$15,ROW(AG155)-ROW(AG$15),0),15-13*ORÇAMENTO!$AF$11)),0)</f>
        <v>0</v>
      </c>
      <c r="AH155" s="545">
        <f ca="1">IF(AND($D155="Serviço",AH$12&lt;&gt;0,$H155&gt;0,OR(AUTOEVENTO&lt;&gt;"manual",$M155&lt;&gt;1)),
IF(Import.TipoArredondamento&lt;&gt;"TransfereGOV",
ROUND(OFFSET($P155,0,AH$13),15-13*ORÇAMENTO!$AF$7)/$H155*OFFSET(ORÇAMENTO!$X$15,ROW(AH155)-ROW(AH$15),0),
ROUND(ROUND(OFFSET($P155,0,AH$13),15-13*ORÇAMENTO!$AF$7)*OFFSET(ORÇAMENTO!$W$15,ROW(AH155)-ROW(AH$15),0),15-13*ORÇAMENTO!$AF$11)),0)</f>
        <v>0</v>
      </c>
      <c r="AI155" s="545">
        <f ca="1">IF(AND($D155="Serviço",AI$12&lt;&gt;0,$H155&gt;0,OR(AUTOEVENTO&lt;&gt;"manual",$M155&lt;&gt;1)),
IF(Import.TipoArredondamento&lt;&gt;"TransfereGOV",
ROUND(OFFSET($P155,0,AI$13),15-13*ORÇAMENTO!$AF$7)/$H155*OFFSET(ORÇAMENTO!$X$15,ROW(AI155)-ROW(AI$15),0),
ROUND(ROUND(OFFSET($P155,0,AI$13),15-13*ORÇAMENTO!$AF$7)*OFFSET(ORÇAMENTO!$W$15,ROW(AI155)-ROW(AI$15),0),15-13*ORÇAMENTO!$AF$11)),0)</f>
        <v>0</v>
      </c>
      <c r="AJ155" s="545">
        <f ca="1">IF(AND($D155="Serviço",AJ$12&lt;&gt;0,$H155&gt;0,OR(AUTOEVENTO&lt;&gt;"manual",$M155&lt;&gt;1)),
IF(Import.TipoArredondamento&lt;&gt;"TransfereGOV",
ROUND(OFFSET($P155,0,AJ$13),15-13*ORÇAMENTO!$AF$7)/$H155*OFFSET(ORÇAMENTO!$X$15,ROW(AJ155)-ROW(AJ$15),0),
ROUND(ROUND(OFFSET($P155,0,AJ$13),15-13*ORÇAMENTO!$AF$7)*OFFSET(ORÇAMENTO!$W$15,ROW(AJ155)-ROW(AJ$15),0),15-13*ORÇAMENTO!$AF$11)),0)</f>
        <v>0</v>
      </c>
      <c r="AK155" s="546">
        <f ca="1">IF(AND($D155="Serviço",AK$12&lt;&gt;0,$H155&gt;0,OR(AUTOEVENTO&lt;&gt;"manual",$M155&lt;&gt;1)),
IF(Import.TipoArredondamento&lt;&gt;"TransfereGOV",
ROUND(OFFSET($P155,0,AK$13),15-13*ORÇAMENTO!$AF$7)/$H155*OFFSET(ORÇAMENTO!$X$15,ROW(AK155)-ROW(AK$15),0),
ROUND(ROUND(OFFSET($P155,0,AK$13),15-13*ORÇAMENTO!$AF$7)*OFFSET(ORÇAMENTO!$W$15,ROW(AK155)-ROW(AK$15),0),15-13*ORÇAMENTO!$AF$11)),0)</f>
        <v>0</v>
      </c>
      <c r="AM155" s="181">
        <f ca="1">IF($D155&lt;&gt;"Serviço",0,IF(AND(AUTOEVENTO="Manual",$M155=1),0,IF(OFFSET(CRONOPLE!$F$14,$M155,AM$13)="",10^12,OFFSET(CRONOPLE!$F$14,$M155,AM$13))))</f>
        <v>1000000000000</v>
      </c>
      <c r="AN155" s="181">
        <f ca="1">IF($D155&lt;&gt;"Serviço",0,IF(AND(AUTOEVENTO="Manual",$M155=1),0,IF(OFFSET(CRONOPLE!$F$14,$M155,AN$13)="",10^12,OFFSET(CRONOPLE!$F$14,$M155,AN$13))))</f>
        <v>1000000000000</v>
      </c>
      <c r="AO155" s="181">
        <f ca="1">IF($D155&lt;&gt;"Serviço",0,IF(AND(AUTOEVENTO="Manual",$M155=1),0,IF(OFFSET(CRONOPLE!$F$14,$M155,AO$13)="",10^12,OFFSET(CRONOPLE!$F$14,$M155,AO$13))))</f>
        <v>1000000000000</v>
      </c>
      <c r="AP155" s="181">
        <f ca="1">IF($D155&lt;&gt;"Serviço",0,IF(AND(AUTOEVENTO="Manual",$M155=1),0,IF(OFFSET(CRONOPLE!$F$14,$M155,AP$13)="",10^12,OFFSET(CRONOPLE!$F$14,$M155,AP$13))))</f>
        <v>1000000000000</v>
      </c>
      <c r="AQ155" s="181">
        <f ca="1">IF($D155&lt;&gt;"Serviço",0,IF(AND(AUTOEVENTO="Manual",$M155=1),0,IF(OFFSET(CRONOPLE!$F$14,$M155,AQ$13)="",10^12,OFFSET(CRONOPLE!$F$14,$M155,AQ$13))))</f>
        <v>1000000000000</v>
      </c>
      <c r="AR155" s="181">
        <f ca="1">IF($D155&lt;&gt;"Serviço",0,IF(AND(AUTOEVENTO="Manual",$M155=1),0,IF(OFFSET(CRONOPLE!$F$14,$M155,AR$13)="",10^12,OFFSET(CRONOPLE!$F$14,$M155,AR$13))))</f>
        <v>1000000000000</v>
      </c>
      <c r="AS155" s="181">
        <f ca="1">IF($D155&lt;&gt;"Serviço",0,IF(AND(AUTOEVENTO="Manual",$M155=1),0,IF(OFFSET(CRONOPLE!$F$14,$M155,AS$13)="",10^12,OFFSET(CRONOPLE!$F$14,$M155,AS$13))))</f>
        <v>1000000000000</v>
      </c>
      <c r="AT155" s="181">
        <f ca="1">IF($D155&lt;&gt;"Serviço",0,IF(AND(AUTOEVENTO="Manual",$M155=1),0,IF(OFFSET(CRONOPLE!$F$14,$M155,AT$13)="",10^12,OFFSET(CRONOPLE!$F$14,$M155,AT$13))))</f>
        <v>1000000000000</v>
      </c>
      <c r="AU155" s="181">
        <f ca="1">IF($D155&lt;&gt;"Serviço",0,IF(AND(AUTOEVENTO="Manual",$M155=1),0,IF(OFFSET(CRONOPLE!$F$14,$M155,AU$13)="",10^12,OFFSET(CRONOPLE!$F$14,$M155,AU$13))))</f>
        <v>1000000000000</v>
      </c>
      <c r="AV155" s="181">
        <f ca="1">IF($D155&lt;&gt;"Serviço",0,IF(AND(AUTOEVENTO="Manual",$M155=1),0,IF(OFFSET(CRONOPLE!$F$14,$M155,AV$13)="",10^12,OFFSET(CRONOPLE!$F$14,$M155,AV$13))))</f>
        <v>1000000000000</v>
      </c>
      <c r="AX155" s="182">
        <f ca="1">IF($D155&lt;&gt;"Serviço",0,IF(OR(AND(AUTOEVENTO="Manual",$M155=1),$M155&gt;(ROW(PLE.lastrow)-ROW(PLE.firstrow))),0,IF(OFFSET(PLE!$G$14,$M155,AX$13)="",10^12,OFFSET(PLE!$G$14,$M155,AX$13))))</f>
        <v>1000000000000</v>
      </c>
      <c r="AY155" s="182">
        <f ca="1">IF($D155&lt;&gt;"Serviço",0,IF(OR(AND(AUTOEVENTO="Manual",$M155=1),$M155&gt;(ROW(PLE.lastrow)-ROW(PLE.firstrow))),0,IF(OFFSET(PLE!$G$14,$M155,AY$13)="",10^12,OFFSET(PLE!$G$14,$M155,AY$13))))</f>
        <v>1000000000000</v>
      </c>
      <c r="AZ155" s="182">
        <f ca="1">IF($D155&lt;&gt;"Serviço",0,IF(OR(AND(AUTOEVENTO="Manual",$M155=1),$M155&gt;(ROW(PLE.lastrow)-ROW(PLE.firstrow))),0,IF(OFFSET(PLE!$G$14,$M155,AZ$13)="",10^12,OFFSET(PLE!$G$14,$M155,AZ$13))))</f>
        <v>1000000000000</v>
      </c>
      <c r="BA155" s="182">
        <f ca="1">IF($D155&lt;&gt;"Serviço",0,IF(OR(AND(AUTOEVENTO="Manual",$M155=1),$M155&gt;(ROW(PLE.lastrow)-ROW(PLE.firstrow))),0,IF(OFFSET(PLE!$G$14,$M155,BA$13)="",10^12,OFFSET(PLE!$G$14,$M155,BA$13))))</f>
        <v>1000000000000</v>
      </c>
      <c r="BB155" s="182">
        <f ca="1">IF($D155&lt;&gt;"Serviço",0,IF(OR(AND(AUTOEVENTO="Manual",$M155=1),$M155&gt;(ROW(PLE.lastrow)-ROW(PLE.firstrow))),0,IF(OFFSET(PLE!$G$14,$M155,BB$13)="",10^12,OFFSET(PLE!$G$14,$M155,BB$13))))</f>
        <v>1000000000000</v>
      </c>
      <c r="BC155" s="182">
        <f ca="1">IF($D155&lt;&gt;"Serviço",0,IF(OR(AND(AUTOEVENTO="Manual",$M155=1),$M155&gt;(ROW(PLE.lastrow)-ROW(PLE.firstrow))),0,IF(OFFSET(PLE!$G$14,$M155,BC$13)="",10^12,OFFSET(PLE!$G$14,$M155,BC$13))))</f>
        <v>1000000000000</v>
      </c>
      <c r="BD155" s="182">
        <f ca="1">IF($D155&lt;&gt;"Serviço",0,IF(OR(AND(AUTOEVENTO="Manual",$M155=1),$M155&gt;(ROW(PLE.lastrow)-ROW(PLE.firstrow))),0,IF(OFFSET(PLE!$G$14,$M155,BD$13)="",10^12,OFFSET(PLE!$G$14,$M155,BD$13))))</f>
        <v>1000000000000</v>
      </c>
      <c r="BE155" s="182">
        <f ca="1">IF($D155&lt;&gt;"Serviço",0,IF(OR(AND(AUTOEVENTO="Manual",$M155=1),$M155&gt;(ROW(PLE.lastrow)-ROW(PLE.firstrow))),0,IF(OFFSET(PLE!$G$14,$M155,BE$13)="",10^12,OFFSET(PLE!$G$14,$M155,BE$13))))</f>
        <v>1000000000000</v>
      </c>
      <c r="BF155" s="182">
        <f ca="1">IF($D155&lt;&gt;"Serviço",0,IF(OR(AND(AUTOEVENTO="Manual",$M155=1),$M155&gt;(ROW(PLE.lastrow)-ROW(PLE.firstrow))),0,IF(OFFSET(PLE!$G$14,$M155,BF$13)="",10^12,OFFSET(PLE!$G$14,$M155,BF$13))))</f>
        <v>1000000000000</v>
      </c>
      <c r="BG155" s="182">
        <f ca="1">IF($D155&lt;&gt;"Serviço",0,IF(OR(AND(AUTOEVENTO="Manual",$M155=1),$M155&gt;(ROW(PLE.lastrow)-ROW(PLE.firstrow))),0,IF(OFFSET(PLE!$G$14,$M155,BG$13)="",10^12,OFFSET(PLE!$G$14,$M155,BG$13))))</f>
        <v>1000000000000</v>
      </c>
    </row>
    <row r="156" spans="1:59" ht="12.75" x14ac:dyDescent="0.2">
      <c r="A156" s="7" t="str">
        <f ca="1">IF(AUTOEVENTO="Manual",IF(K156&lt;&gt;"",MIN(VALUE(LEFT(K156,FIND(".",K156)-1)),COUNTA(EVENTOS.Lista)),0),IF(OR($B156&gt;AUTOEVENTO,$B156="S",$B156=0),SUBSTITUTE(OFFSET($A156,-1,0),IF($D156="Serviço",".",""),""),ROW(A156)-ROW($A$15)&amp;"."))</f>
        <v>141.</v>
      </c>
      <c r="B156" s="7">
        <f ca="1">OFFSET(ORÇAMENTO!C$15,ROW(B156)-ROW(B$15),0)</f>
        <v>2</v>
      </c>
      <c r="C156" s="7" t="str">
        <f ca="1">OFFSET(ORÇAMENTO!L$15,ROW(C156)-ROW(C$15),0)</f>
        <v>F</v>
      </c>
      <c r="D156" s="118" t="str">
        <f ca="1">OFFSET(ORÇAMENTO!N$15,ROW(D156)-ROW(D$15),0)</f>
        <v>Nível 2</v>
      </c>
      <c r="E156" s="119" t="str">
        <f ca="1">OFFSET(ORÇAMENTO!O$15,ROW(E156)-ROW(E$15),0)</f>
        <v>10.2.</v>
      </c>
      <c r="F156" s="172" t="str">
        <f ca="1">OFFSET(ORÇAMENTO!R$15,ROW(F156)-ROW(F$15),0)</f>
        <v>ILUMINAÇÃO</v>
      </c>
      <c r="G156" s="173" t="str">
        <f ca="1">IF($D156&lt;&gt;"Serviço","",OFFSET(ORÇAMENTO!S$15,ROW(G156)-ROW(G$15),0))</f>
        <v/>
      </c>
      <c r="H156" s="124">
        <f ca="1">IF($D156&lt;&gt;"Serviço",0,IF(ACOMPANHAMENTO="BM",ROUND(OFFSET(ORÇAMENTO!AJ$15,ROW(H156)-ROW(H$15),0),15-13*ORÇAMENTO!$AF$7),SUMPRODUCT(($Q$12:$AA$12&lt;&gt;"")*ROUND($Q156:$AA156,15-13*ORÇAMENTO!$AF$7))))</f>
        <v>0</v>
      </c>
      <c r="I156" s="561"/>
      <c r="K156" s="174"/>
      <c r="L156" s="175" t="s">
        <v>255</v>
      </c>
      <c r="M156" s="176" t="str">
        <f ca="1">IF($D156&lt;&gt;"Serviço","",IF(AUTOEVENTO="manual",$A156,IF(ISERROR(MATCH($A156,$A$15:OFFSET($A156,-1,0),0)),MAX($M$15:OFFSET(M156,-1,0))+1,INDEX($M$15:OFFSET(M156,-1,0),MATCH($A156,$A$15:OFFSET($A156,-1,0),0)))))</f>
        <v/>
      </c>
      <c r="N156" s="177" t="str">
        <f ca="1">IF($D156&lt;&gt;"Serviço","",IF(AUTOEVENTO="Manual",IF($A156=0,"&lt;-- defina o número do agrupador",OFFSET(EVENTOS!$D$14,$A156,0)),OFFSET($F$15,$A156,0)))</f>
        <v/>
      </c>
      <c r="O156" s="178"/>
      <c r="Q156" s="178"/>
      <c r="R156" s="179"/>
      <c r="S156" s="179"/>
      <c r="T156" s="179"/>
      <c r="U156" s="179"/>
      <c r="V156" s="179"/>
      <c r="W156" s="179"/>
      <c r="X156" s="179"/>
      <c r="Y156" s="179"/>
      <c r="Z156" s="180"/>
      <c r="AB156" s="544">
        <f ca="1">IF(AND($D156="Serviço",AB$12&lt;&gt;0,$H156&gt;0,OR(AUTOEVENTO&lt;&gt;"manual",$M156&lt;&gt;1)),
IF(Import.TipoArredondamento&lt;&gt;"TransfereGOV",
ROUND(OFFSET($P156,0,AB$13),15-13*ORÇAMENTO!$AF$7)/$H156*OFFSET(ORÇAMENTO!$X$15,ROW(AB156)-ROW(AB$15),0),
ROUND(ROUND(OFFSET($P156,0,AB$13),15-13*ORÇAMENTO!$AF$7)*OFFSET(ORÇAMENTO!$W$15,ROW(AB156)-ROW(AB$15),0),15-13*ORÇAMENTO!$AF$11)),0)</f>
        <v>0</v>
      </c>
      <c r="AC156" s="545">
        <f ca="1">IF(AND($D156="Serviço",AC$12&lt;&gt;0,$H156&gt;0,OR(AUTOEVENTO&lt;&gt;"manual",$M156&lt;&gt;1)),
IF(Import.TipoArredondamento&lt;&gt;"TransfereGOV",
ROUND(OFFSET($P156,0,AC$13),15-13*ORÇAMENTO!$AF$7)/$H156*OFFSET(ORÇAMENTO!$X$15,ROW(AC156)-ROW(AC$15),0),
ROUND(ROUND(OFFSET($P156,0,AC$13),15-13*ORÇAMENTO!$AF$7)*OFFSET(ORÇAMENTO!$W$15,ROW(AC156)-ROW(AC$15),0),15-13*ORÇAMENTO!$AF$11)),0)</f>
        <v>0</v>
      </c>
      <c r="AD156" s="545">
        <f ca="1">IF(AND($D156="Serviço",AD$12&lt;&gt;0,$H156&gt;0,OR(AUTOEVENTO&lt;&gt;"manual",$M156&lt;&gt;1)),
IF(Import.TipoArredondamento&lt;&gt;"TransfereGOV",
ROUND(OFFSET($P156,0,AD$13),15-13*ORÇAMENTO!$AF$7)/$H156*OFFSET(ORÇAMENTO!$X$15,ROW(AD156)-ROW(AD$15),0),
ROUND(ROUND(OFFSET($P156,0,AD$13),15-13*ORÇAMENTO!$AF$7)*OFFSET(ORÇAMENTO!$W$15,ROW(AD156)-ROW(AD$15),0),15-13*ORÇAMENTO!$AF$11)),0)</f>
        <v>0</v>
      </c>
      <c r="AE156" s="545">
        <f ca="1">IF(AND($D156="Serviço",AE$12&lt;&gt;0,$H156&gt;0,OR(AUTOEVENTO&lt;&gt;"manual",$M156&lt;&gt;1)),
IF(Import.TipoArredondamento&lt;&gt;"TransfereGOV",
ROUND(OFFSET($P156,0,AE$13),15-13*ORÇAMENTO!$AF$7)/$H156*OFFSET(ORÇAMENTO!$X$15,ROW(AE156)-ROW(AE$15),0),
ROUND(ROUND(OFFSET($P156,0,AE$13),15-13*ORÇAMENTO!$AF$7)*OFFSET(ORÇAMENTO!$W$15,ROW(AE156)-ROW(AE$15),0),15-13*ORÇAMENTO!$AF$11)),0)</f>
        <v>0</v>
      </c>
      <c r="AF156" s="545">
        <f ca="1">IF(AND($D156="Serviço",AF$12&lt;&gt;0,$H156&gt;0,OR(AUTOEVENTO&lt;&gt;"manual",$M156&lt;&gt;1)),
IF(Import.TipoArredondamento&lt;&gt;"TransfereGOV",
ROUND(OFFSET($P156,0,AF$13),15-13*ORÇAMENTO!$AF$7)/$H156*OFFSET(ORÇAMENTO!$X$15,ROW(AF156)-ROW(AF$15),0),
ROUND(ROUND(OFFSET($P156,0,AF$13),15-13*ORÇAMENTO!$AF$7)*OFFSET(ORÇAMENTO!$W$15,ROW(AF156)-ROW(AF$15),0),15-13*ORÇAMENTO!$AF$11)),0)</f>
        <v>0</v>
      </c>
      <c r="AG156" s="545">
        <f ca="1">IF(AND($D156="Serviço",AG$12&lt;&gt;0,$H156&gt;0,OR(AUTOEVENTO&lt;&gt;"manual",$M156&lt;&gt;1)),
IF(Import.TipoArredondamento&lt;&gt;"TransfereGOV",
ROUND(OFFSET($P156,0,AG$13),15-13*ORÇAMENTO!$AF$7)/$H156*OFFSET(ORÇAMENTO!$X$15,ROW(AG156)-ROW(AG$15),0),
ROUND(ROUND(OFFSET($P156,0,AG$13),15-13*ORÇAMENTO!$AF$7)*OFFSET(ORÇAMENTO!$W$15,ROW(AG156)-ROW(AG$15),0),15-13*ORÇAMENTO!$AF$11)),0)</f>
        <v>0</v>
      </c>
      <c r="AH156" s="545">
        <f ca="1">IF(AND($D156="Serviço",AH$12&lt;&gt;0,$H156&gt;0,OR(AUTOEVENTO&lt;&gt;"manual",$M156&lt;&gt;1)),
IF(Import.TipoArredondamento&lt;&gt;"TransfereGOV",
ROUND(OFFSET($P156,0,AH$13),15-13*ORÇAMENTO!$AF$7)/$H156*OFFSET(ORÇAMENTO!$X$15,ROW(AH156)-ROW(AH$15),0),
ROUND(ROUND(OFFSET($P156,0,AH$13),15-13*ORÇAMENTO!$AF$7)*OFFSET(ORÇAMENTO!$W$15,ROW(AH156)-ROW(AH$15),0),15-13*ORÇAMENTO!$AF$11)),0)</f>
        <v>0</v>
      </c>
      <c r="AI156" s="545">
        <f ca="1">IF(AND($D156="Serviço",AI$12&lt;&gt;0,$H156&gt;0,OR(AUTOEVENTO&lt;&gt;"manual",$M156&lt;&gt;1)),
IF(Import.TipoArredondamento&lt;&gt;"TransfereGOV",
ROUND(OFFSET($P156,0,AI$13),15-13*ORÇAMENTO!$AF$7)/$H156*OFFSET(ORÇAMENTO!$X$15,ROW(AI156)-ROW(AI$15),0),
ROUND(ROUND(OFFSET($P156,0,AI$13),15-13*ORÇAMENTO!$AF$7)*OFFSET(ORÇAMENTO!$W$15,ROW(AI156)-ROW(AI$15),0),15-13*ORÇAMENTO!$AF$11)),0)</f>
        <v>0</v>
      </c>
      <c r="AJ156" s="545">
        <f ca="1">IF(AND($D156="Serviço",AJ$12&lt;&gt;0,$H156&gt;0,OR(AUTOEVENTO&lt;&gt;"manual",$M156&lt;&gt;1)),
IF(Import.TipoArredondamento&lt;&gt;"TransfereGOV",
ROUND(OFFSET($P156,0,AJ$13),15-13*ORÇAMENTO!$AF$7)/$H156*OFFSET(ORÇAMENTO!$X$15,ROW(AJ156)-ROW(AJ$15),0),
ROUND(ROUND(OFFSET($P156,0,AJ$13),15-13*ORÇAMENTO!$AF$7)*OFFSET(ORÇAMENTO!$W$15,ROW(AJ156)-ROW(AJ$15),0),15-13*ORÇAMENTO!$AF$11)),0)</f>
        <v>0</v>
      </c>
      <c r="AK156" s="546">
        <f ca="1">IF(AND($D156="Serviço",AK$12&lt;&gt;0,$H156&gt;0,OR(AUTOEVENTO&lt;&gt;"manual",$M156&lt;&gt;1)),
IF(Import.TipoArredondamento&lt;&gt;"TransfereGOV",
ROUND(OFFSET($P156,0,AK$13),15-13*ORÇAMENTO!$AF$7)/$H156*OFFSET(ORÇAMENTO!$X$15,ROW(AK156)-ROW(AK$15),0),
ROUND(ROUND(OFFSET($P156,0,AK$13),15-13*ORÇAMENTO!$AF$7)*OFFSET(ORÇAMENTO!$W$15,ROW(AK156)-ROW(AK$15),0),15-13*ORÇAMENTO!$AF$11)),0)</f>
        <v>0</v>
      </c>
      <c r="AM156" s="181">
        <f ca="1">IF($D156&lt;&gt;"Serviço",0,IF(AND(AUTOEVENTO="Manual",$M156=1),0,IF(OFFSET(CRONOPLE!$F$14,$M156,AM$13)="",10^12,OFFSET(CRONOPLE!$F$14,$M156,AM$13))))</f>
        <v>0</v>
      </c>
      <c r="AN156" s="181">
        <f ca="1">IF($D156&lt;&gt;"Serviço",0,IF(AND(AUTOEVENTO="Manual",$M156=1),0,IF(OFFSET(CRONOPLE!$F$14,$M156,AN$13)="",10^12,OFFSET(CRONOPLE!$F$14,$M156,AN$13))))</f>
        <v>0</v>
      </c>
      <c r="AO156" s="181">
        <f ca="1">IF($D156&lt;&gt;"Serviço",0,IF(AND(AUTOEVENTO="Manual",$M156=1),0,IF(OFFSET(CRONOPLE!$F$14,$M156,AO$13)="",10^12,OFFSET(CRONOPLE!$F$14,$M156,AO$13))))</f>
        <v>0</v>
      </c>
      <c r="AP156" s="181">
        <f ca="1">IF($D156&lt;&gt;"Serviço",0,IF(AND(AUTOEVENTO="Manual",$M156=1),0,IF(OFFSET(CRONOPLE!$F$14,$M156,AP$13)="",10^12,OFFSET(CRONOPLE!$F$14,$M156,AP$13))))</f>
        <v>0</v>
      </c>
      <c r="AQ156" s="181">
        <f ca="1">IF($D156&lt;&gt;"Serviço",0,IF(AND(AUTOEVENTO="Manual",$M156=1),0,IF(OFFSET(CRONOPLE!$F$14,$M156,AQ$13)="",10^12,OFFSET(CRONOPLE!$F$14,$M156,AQ$13))))</f>
        <v>0</v>
      </c>
      <c r="AR156" s="181">
        <f ca="1">IF($D156&lt;&gt;"Serviço",0,IF(AND(AUTOEVENTO="Manual",$M156=1),0,IF(OFFSET(CRONOPLE!$F$14,$M156,AR$13)="",10^12,OFFSET(CRONOPLE!$F$14,$M156,AR$13))))</f>
        <v>0</v>
      </c>
      <c r="AS156" s="181">
        <f ca="1">IF($D156&lt;&gt;"Serviço",0,IF(AND(AUTOEVENTO="Manual",$M156=1),0,IF(OFFSET(CRONOPLE!$F$14,$M156,AS$13)="",10^12,OFFSET(CRONOPLE!$F$14,$M156,AS$13))))</f>
        <v>0</v>
      </c>
      <c r="AT156" s="181">
        <f ca="1">IF($D156&lt;&gt;"Serviço",0,IF(AND(AUTOEVENTO="Manual",$M156=1),0,IF(OFFSET(CRONOPLE!$F$14,$M156,AT$13)="",10^12,OFFSET(CRONOPLE!$F$14,$M156,AT$13))))</f>
        <v>0</v>
      </c>
      <c r="AU156" s="181">
        <f ca="1">IF($D156&lt;&gt;"Serviço",0,IF(AND(AUTOEVENTO="Manual",$M156=1),0,IF(OFFSET(CRONOPLE!$F$14,$M156,AU$13)="",10^12,OFFSET(CRONOPLE!$F$14,$M156,AU$13))))</f>
        <v>0</v>
      </c>
      <c r="AV156" s="181">
        <f ca="1">IF($D156&lt;&gt;"Serviço",0,IF(AND(AUTOEVENTO="Manual",$M156=1),0,IF(OFFSET(CRONOPLE!$F$14,$M156,AV$13)="",10^12,OFFSET(CRONOPLE!$F$14,$M156,AV$13))))</f>
        <v>0</v>
      </c>
      <c r="AX156" s="182">
        <f ca="1">IF($D156&lt;&gt;"Serviço",0,IF(OR(AND(AUTOEVENTO="Manual",$M156=1),$M156&gt;(ROW(PLE.lastrow)-ROW(PLE.firstrow))),0,IF(OFFSET(PLE!$G$14,$M156,AX$13)="",10^12,OFFSET(PLE!$G$14,$M156,AX$13))))</f>
        <v>0</v>
      </c>
      <c r="AY156" s="182">
        <f ca="1">IF($D156&lt;&gt;"Serviço",0,IF(OR(AND(AUTOEVENTO="Manual",$M156=1),$M156&gt;(ROW(PLE.lastrow)-ROW(PLE.firstrow))),0,IF(OFFSET(PLE!$G$14,$M156,AY$13)="",10^12,OFFSET(PLE!$G$14,$M156,AY$13))))</f>
        <v>0</v>
      </c>
      <c r="AZ156" s="182">
        <f ca="1">IF($D156&lt;&gt;"Serviço",0,IF(OR(AND(AUTOEVENTO="Manual",$M156=1),$M156&gt;(ROW(PLE.lastrow)-ROW(PLE.firstrow))),0,IF(OFFSET(PLE!$G$14,$M156,AZ$13)="",10^12,OFFSET(PLE!$G$14,$M156,AZ$13))))</f>
        <v>0</v>
      </c>
      <c r="BA156" s="182">
        <f ca="1">IF($D156&lt;&gt;"Serviço",0,IF(OR(AND(AUTOEVENTO="Manual",$M156=1),$M156&gt;(ROW(PLE.lastrow)-ROW(PLE.firstrow))),0,IF(OFFSET(PLE!$G$14,$M156,BA$13)="",10^12,OFFSET(PLE!$G$14,$M156,BA$13))))</f>
        <v>0</v>
      </c>
      <c r="BB156" s="182">
        <f ca="1">IF($D156&lt;&gt;"Serviço",0,IF(OR(AND(AUTOEVENTO="Manual",$M156=1),$M156&gt;(ROW(PLE.lastrow)-ROW(PLE.firstrow))),0,IF(OFFSET(PLE!$G$14,$M156,BB$13)="",10^12,OFFSET(PLE!$G$14,$M156,BB$13))))</f>
        <v>0</v>
      </c>
      <c r="BC156" s="182">
        <f ca="1">IF($D156&lt;&gt;"Serviço",0,IF(OR(AND(AUTOEVENTO="Manual",$M156=1),$M156&gt;(ROW(PLE.lastrow)-ROW(PLE.firstrow))),0,IF(OFFSET(PLE!$G$14,$M156,BC$13)="",10^12,OFFSET(PLE!$G$14,$M156,BC$13))))</f>
        <v>0</v>
      </c>
      <c r="BD156" s="182">
        <f ca="1">IF($D156&lt;&gt;"Serviço",0,IF(OR(AND(AUTOEVENTO="Manual",$M156=1),$M156&gt;(ROW(PLE.lastrow)-ROW(PLE.firstrow))),0,IF(OFFSET(PLE!$G$14,$M156,BD$13)="",10^12,OFFSET(PLE!$G$14,$M156,BD$13))))</f>
        <v>0</v>
      </c>
      <c r="BE156" s="182">
        <f ca="1">IF($D156&lt;&gt;"Serviço",0,IF(OR(AND(AUTOEVENTO="Manual",$M156=1),$M156&gt;(ROW(PLE.lastrow)-ROW(PLE.firstrow))),0,IF(OFFSET(PLE!$G$14,$M156,BE$13)="",10^12,OFFSET(PLE!$G$14,$M156,BE$13))))</f>
        <v>0</v>
      </c>
      <c r="BF156" s="182">
        <f ca="1">IF($D156&lt;&gt;"Serviço",0,IF(OR(AND(AUTOEVENTO="Manual",$M156=1),$M156&gt;(ROW(PLE.lastrow)-ROW(PLE.firstrow))),0,IF(OFFSET(PLE!$G$14,$M156,BF$13)="",10^12,OFFSET(PLE!$G$14,$M156,BF$13))))</f>
        <v>0</v>
      </c>
      <c r="BG156" s="182">
        <f ca="1">IF($D156&lt;&gt;"Serviço",0,IF(OR(AND(AUTOEVENTO="Manual",$M156=1),$M156&gt;(ROW(PLE.lastrow)-ROW(PLE.firstrow))),0,IF(OFFSET(PLE!$G$14,$M156,BG$13)="",10^12,OFFSET(PLE!$G$14,$M156,BG$13))))</f>
        <v>0</v>
      </c>
    </row>
    <row r="157" spans="1:59" ht="25.5" x14ac:dyDescent="0.2">
      <c r="A157" s="7" t="str">
        <f t="shared" ca="1" si="13"/>
        <v>141</v>
      </c>
      <c r="B157" s="7" t="str">
        <f ca="1">OFFSET(ORÇAMENTO!C$15,ROW(B157)-ROW(B$15),0)</f>
        <v>S</v>
      </c>
      <c r="C157" s="7" t="str">
        <f ca="1">OFFSET(ORÇAMENTO!L$15,ROW(C157)-ROW(C$15),0)</f>
        <v>F</v>
      </c>
      <c r="D157" s="118" t="str">
        <f ca="1">OFFSET(ORÇAMENTO!N$15,ROW(D157)-ROW(D$15),0)</f>
        <v>Serviço</v>
      </c>
      <c r="E157" s="119" t="str">
        <f ca="1">OFFSET(ORÇAMENTO!O$15,ROW(E157)-ROW(E$15),0)</f>
        <v>10.2.1.</v>
      </c>
      <c r="F157" s="172" t="str">
        <f ca="1">OFFSET(ORÇAMENTO!R$15,ROW(F157)-ROW(F$15),0)</f>
        <v>DISJUNTOR BIPOLAR TIPO DIN, CORRENTE NOMINAL DE 20A - FORNECIMENTO E INSTALAÇÃO. AF_07/2025</v>
      </c>
      <c r="G157" s="173" t="str">
        <f ca="1">IF($D157&lt;&gt;"Serviço","",OFFSET(ORÇAMENTO!S$15,ROW(G157)-ROW(G$15),0))</f>
        <v>UN</v>
      </c>
      <c r="H157" s="124">
        <f ca="1">IF($D157&lt;&gt;"Serviço",0,IF(ACOMPANHAMENTO="BM",ROUND(OFFSET(ORÇAMENTO!AJ$15,ROW(H157)-ROW(H$15),0),15-13*ORÇAMENTO!$AF$7),SUMPRODUCT(($Q$12:$AA$12&lt;&gt;"")*ROUND($Q157:$AA157,15-13*ORÇAMENTO!$AF$7))))</f>
        <v>1</v>
      </c>
      <c r="I157" s="561"/>
      <c r="K157" s="174"/>
      <c r="L157" s="175" t="s">
        <v>255</v>
      </c>
      <c r="M157" s="176">
        <f ca="1">IF($D157&lt;&gt;"Serviço","",IF(AUTOEVENTO="manual",$A157,IF(ISERROR(MATCH($A157,$A$15:OFFSET($A157,-1,0),0)),MAX($M$15:OFFSET(M157,-1,0))+1,INDEX($M$15:OFFSET(M157,-1,0),MATCH($A157,$A$15:OFFSET($A157,-1,0),0)))))</f>
        <v>23</v>
      </c>
      <c r="N157" s="177" t="str">
        <f ca="1">IF($D157&lt;&gt;"Serviço","",IF(AUTOEVENTO="Manual",IF($A157=0,"&lt;-- defina o número do agrupador",OFFSET(EVENTOS!$D$14,$A157,0)),OFFSET($F$15,$A157,0)))</f>
        <v>ILUMINAÇÃO</v>
      </c>
      <c r="O157" s="178"/>
      <c r="Q157" s="178"/>
      <c r="R157" s="179"/>
      <c r="S157" s="179"/>
      <c r="T157" s="179"/>
      <c r="U157" s="179"/>
      <c r="V157" s="179"/>
      <c r="W157" s="179"/>
      <c r="X157" s="179"/>
      <c r="Y157" s="179"/>
      <c r="Z157" s="180"/>
      <c r="AB157" s="544">
        <f ca="1">IF(AND($D157="Serviço",AB$12&lt;&gt;0,$H157&gt;0,OR(AUTOEVENTO&lt;&gt;"manual",$M157&lt;&gt;1)),
IF(Import.TipoArredondamento&lt;&gt;"TransfereGOV",
ROUND(OFFSET($P157,0,AB$13),15-13*ORÇAMENTO!$AF$7)/$H157*OFFSET(ORÇAMENTO!$X$15,ROW(AB157)-ROW(AB$15),0),
ROUND(ROUND(OFFSET($P157,0,AB$13),15-13*ORÇAMENTO!$AF$7)*OFFSET(ORÇAMENTO!$W$15,ROW(AB157)-ROW(AB$15),0),15-13*ORÇAMENTO!$AF$11)),0)</f>
        <v>0</v>
      </c>
      <c r="AC157" s="545">
        <f ca="1">IF(AND($D157="Serviço",AC$12&lt;&gt;0,$H157&gt;0,OR(AUTOEVENTO&lt;&gt;"manual",$M157&lt;&gt;1)),
IF(Import.TipoArredondamento&lt;&gt;"TransfereGOV",
ROUND(OFFSET($P157,0,AC$13),15-13*ORÇAMENTO!$AF$7)/$H157*OFFSET(ORÇAMENTO!$X$15,ROW(AC157)-ROW(AC$15),0),
ROUND(ROUND(OFFSET($P157,0,AC$13),15-13*ORÇAMENTO!$AF$7)*OFFSET(ORÇAMENTO!$W$15,ROW(AC157)-ROW(AC$15),0),15-13*ORÇAMENTO!$AF$11)),0)</f>
        <v>0</v>
      </c>
      <c r="AD157" s="545">
        <f ca="1">IF(AND($D157="Serviço",AD$12&lt;&gt;0,$H157&gt;0,OR(AUTOEVENTO&lt;&gt;"manual",$M157&lt;&gt;1)),
IF(Import.TipoArredondamento&lt;&gt;"TransfereGOV",
ROUND(OFFSET($P157,0,AD$13),15-13*ORÇAMENTO!$AF$7)/$H157*OFFSET(ORÇAMENTO!$X$15,ROW(AD157)-ROW(AD$15),0),
ROUND(ROUND(OFFSET($P157,0,AD$13),15-13*ORÇAMENTO!$AF$7)*OFFSET(ORÇAMENTO!$W$15,ROW(AD157)-ROW(AD$15),0),15-13*ORÇAMENTO!$AF$11)),0)</f>
        <v>0</v>
      </c>
      <c r="AE157" s="545">
        <f ca="1">IF(AND($D157="Serviço",AE$12&lt;&gt;0,$H157&gt;0,OR(AUTOEVENTO&lt;&gt;"manual",$M157&lt;&gt;1)),
IF(Import.TipoArredondamento&lt;&gt;"TransfereGOV",
ROUND(OFFSET($P157,0,AE$13),15-13*ORÇAMENTO!$AF$7)/$H157*OFFSET(ORÇAMENTO!$X$15,ROW(AE157)-ROW(AE$15),0),
ROUND(ROUND(OFFSET($P157,0,AE$13),15-13*ORÇAMENTO!$AF$7)*OFFSET(ORÇAMENTO!$W$15,ROW(AE157)-ROW(AE$15),0),15-13*ORÇAMENTO!$AF$11)),0)</f>
        <v>0</v>
      </c>
      <c r="AF157" s="545">
        <f ca="1">IF(AND($D157="Serviço",AF$12&lt;&gt;0,$H157&gt;0,OR(AUTOEVENTO&lt;&gt;"manual",$M157&lt;&gt;1)),
IF(Import.TipoArredondamento&lt;&gt;"TransfereGOV",
ROUND(OFFSET($P157,0,AF$13),15-13*ORÇAMENTO!$AF$7)/$H157*OFFSET(ORÇAMENTO!$X$15,ROW(AF157)-ROW(AF$15),0),
ROUND(ROUND(OFFSET($P157,0,AF$13),15-13*ORÇAMENTO!$AF$7)*OFFSET(ORÇAMENTO!$W$15,ROW(AF157)-ROW(AF$15),0),15-13*ORÇAMENTO!$AF$11)),0)</f>
        <v>0</v>
      </c>
      <c r="AG157" s="545">
        <f ca="1">IF(AND($D157="Serviço",AG$12&lt;&gt;0,$H157&gt;0,OR(AUTOEVENTO&lt;&gt;"manual",$M157&lt;&gt;1)),
IF(Import.TipoArredondamento&lt;&gt;"TransfereGOV",
ROUND(OFFSET($P157,0,AG$13),15-13*ORÇAMENTO!$AF$7)/$H157*OFFSET(ORÇAMENTO!$X$15,ROW(AG157)-ROW(AG$15),0),
ROUND(ROUND(OFFSET($P157,0,AG$13),15-13*ORÇAMENTO!$AF$7)*OFFSET(ORÇAMENTO!$W$15,ROW(AG157)-ROW(AG$15),0),15-13*ORÇAMENTO!$AF$11)),0)</f>
        <v>0</v>
      </c>
      <c r="AH157" s="545">
        <f ca="1">IF(AND($D157="Serviço",AH$12&lt;&gt;0,$H157&gt;0,OR(AUTOEVENTO&lt;&gt;"manual",$M157&lt;&gt;1)),
IF(Import.TipoArredondamento&lt;&gt;"TransfereGOV",
ROUND(OFFSET($P157,0,AH$13),15-13*ORÇAMENTO!$AF$7)/$H157*OFFSET(ORÇAMENTO!$X$15,ROW(AH157)-ROW(AH$15),0),
ROUND(ROUND(OFFSET($P157,0,AH$13),15-13*ORÇAMENTO!$AF$7)*OFFSET(ORÇAMENTO!$W$15,ROW(AH157)-ROW(AH$15),0),15-13*ORÇAMENTO!$AF$11)),0)</f>
        <v>0</v>
      </c>
      <c r="AI157" s="545">
        <f ca="1">IF(AND($D157="Serviço",AI$12&lt;&gt;0,$H157&gt;0,OR(AUTOEVENTO&lt;&gt;"manual",$M157&lt;&gt;1)),
IF(Import.TipoArredondamento&lt;&gt;"TransfereGOV",
ROUND(OFFSET($P157,0,AI$13),15-13*ORÇAMENTO!$AF$7)/$H157*OFFSET(ORÇAMENTO!$X$15,ROW(AI157)-ROW(AI$15),0),
ROUND(ROUND(OFFSET($P157,0,AI$13),15-13*ORÇAMENTO!$AF$7)*OFFSET(ORÇAMENTO!$W$15,ROW(AI157)-ROW(AI$15),0),15-13*ORÇAMENTO!$AF$11)),0)</f>
        <v>0</v>
      </c>
      <c r="AJ157" s="545">
        <f ca="1">IF(AND($D157="Serviço",AJ$12&lt;&gt;0,$H157&gt;0,OR(AUTOEVENTO&lt;&gt;"manual",$M157&lt;&gt;1)),
IF(Import.TipoArredondamento&lt;&gt;"TransfereGOV",
ROUND(OFFSET($P157,0,AJ$13),15-13*ORÇAMENTO!$AF$7)/$H157*OFFSET(ORÇAMENTO!$X$15,ROW(AJ157)-ROW(AJ$15),0),
ROUND(ROUND(OFFSET($P157,0,AJ$13),15-13*ORÇAMENTO!$AF$7)*OFFSET(ORÇAMENTO!$W$15,ROW(AJ157)-ROW(AJ$15),0),15-13*ORÇAMENTO!$AF$11)),0)</f>
        <v>0</v>
      </c>
      <c r="AK157" s="546">
        <f ca="1">IF(AND($D157="Serviço",AK$12&lt;&gt;0,$H157&gt;0,OR(AUTOEVENTO&lt;&gt;"manual",$M157&lt;&gt;1)),
IF(Import.TipoArredondamento&lt;&gt;"TransfereGOV",
ROUND(OFFSET($P157,0,AK$13),15-13*ORÇAMENTO!$AF$7)/$H157*OFFSET(ORÇAMENTO!$X$15,ROW(AK157)-ROW(AK$15),0),
ROUND(ROUND(OFFSET($P157,0,AK$13),15-13*ORÇAMENTO!$AF$7)*OFFSET(ORÇAMENTO!$W$15,ROW(AK157)-ROW(AK$15),0),15-13*ORÇAMENTO!$AF$11)),0)</f>
        <v>0</v>
      </c>
      <c r="AM157" s="181">
        <f ca="1">IF($D157&lt;&gt;"Serviço",0,IF(AND(AUTOEVENTO="Manual",$M157=1),0,IF(OFFSET(CRONOPLE!$F$14,$M157,AM$13)="",10^12,OFFSET(CRONOPLE!$F$14,$M157,AM$13))))</f>
        <v>1000000000000</v>
      </c>
      <c r="AN157" s="181">
        <f ca="1">IF($D157&lt;&gt;"Serviço",0,IF(AND(AUTOEVENTO="Manual",$M157=1),0,IF(OFFSET(CRONOPLE!$F$14,$M157,AN$13)="",10^12,OFFSET(CRONOPLE!$F$14,$M157,AN$13))))</f>
        <v>1000000000000</v>
      </c>
      <c r="AO157" s="181">
        <f ca="1">IF($D157&lt;&gt;"Serviço",0,IF(AND(AUTOEVENTO="Manual",$M157=1),0,IF(OFFSET(CRONOPLE!$F$14,$M157,AO$13)="",10^12,OFFSET(CRONOPLE!$F$14,$M157,AO$13))))</f>
        <v>1000000000000</v>
      </c>
      <c r="AP157" s="181">
        <f ca="1">IF($D157&lt;&gt;"Serviço",0,IF(AND(AUTOEVENTO="Manual",$M157=1),0,IF(OFFSET(CRONOPLE!$F$14,$M157,AP$13)="",10^12,OFFSET(CRONOPLE!$F$14,$M157,AP$13))))</f>
        <v>1000000000000</v>
      </c>
      <c r="AQ157" s="181">
        <f ca="1">IF($D157&lt;&gt;"Serviço",0,IF(AND(AUTOEVENTO="Manual",$M157=1),0,IF(OFFSET(CRONOPLE!$F$14,$M157,AQ$13)="",10^12,OFFSET(CRONOPLE!$F$14,$M157,AQ$13))))</f>
        <v>1000000000000</v>
      </c>
      <c r="AR157" s="181">
        <f ca="1">IF($D157&lt;&gt;"Serviço",0,IF(AND(AUTOEVENTO="Manual",$M157=1),0,IF(OFFSET(CRONOPLE!$F$14,$M157,AR$13)="",10^12,OFFSET(CRONOPLE!$F$14,$M157,AR$13))))</f>
        <v>1000000000000</v>
      </c>
      <c r="AS157" s="181">
        <f ca="1">IF($D157&lt;&gt;"Serviço",0,IF(AND(AUTOEVENTO="Manual",$M157=1),0,IF(OFFSET(CRONOPLE!$F$14,$M157,AS$13)="",10^12,OFFSET(CRONOPLE!$F$14,$M157,AS$13))))</f>
        <v>1000000000000</v>
      </c>
      <c r="AT157" s="181">
        <f ca="1">IF($D157&lt;&gt;"Serviço",0,IF(AND(AUTOEVENTO="Manual",$M157=1),0,IF(OFFSET(CRONOPLE!$F$14,$M157,AT$13)="",10^12,OFFSET(CRONOPLE!$F$14,$M157,AT$13))))</f>
        <v>1000000000000</v>
      </c>
      <c r="AU157" s="181">
        <f ca="1">IF($D157&lt;&gt;"Serviço",0,IF(AND(AUTOEVENTO="Manual",$M157=1),0,IF(OFFSET(CRONOPLE!$F$14,$M157,AU$13)="",10^12,OFFSET(CRONOPLE!$F$14,$M157,AU$13))))</f>
        <v>1000000000000</v>
      </c>
      <c r="AV157" s="181">
        <f ca="1">IF($D157&lt;&gt;"Serviço",0,IF(AND(AUTOEVENTO="Manual",$M157=1),0,IF(OFFSET(CRONOPLE!$F$14,$M157,AV$13)="",10^12,OFFSET(CRONOPLE!$F$14,$M157,AV$13))))</f>
        <v>1000000000000</v>
      </c>
      <c r="AX157" s="182">
        <f ca="1">IF($D157&lt;&gt;"Serviço",0,IF(OR(AND(AUTOEVENTO="Manual",$M157=1),$M157&gt;(ROW(PLE.lastrow)-ROW(PLE.firstrow))),0,IF(OFFSET(PLE!$G$14,$M157,AX$13)="",10^12,OFFSET(PLE!$G$14,$M157,AX$13))))</f>
        <v>1000000000000</v>
      </c>
      <c r="AY157" s="182">
        <f ca="1">IF($D157&lt;&gt;"Serviço",0,IF(OR(AND(AUTOEVENTO="Manual",$M157=1),$M157&gt;(ROW(PLE.lastrow)-ROW(PLE.firstrow))),0,IF(OFFSET(PLE!$G$14,$M157,AY$13)="",10^12,OFFSET(PLE!$G$14,$M157,AY$13))))</f>
        <v>1000000000000</v>
      </c>
      <c r="AZ157" s="182">
        <f ca="1">IF($D157&lt;&gt;"Serviço",0,IF(OR(AND(AUTOEVENTO="Manual",$M157=1),$M157&gt;(ROW(PLE.lastrow)-ROW(PLE.firstrow))),0,IF(OFFSET(PLE!$G$14,$M157,AZ$13)="",10^12,OFFSET(PLE!$G$14,$M157,AZ$13))))</f>
        <v>1000000000000</v>
      </c>
      <c r="BA157" s="182">
        <f ca="1">IF($D157&lt;&gt;"Serviço",0,IF(OR(AND(AUTOEVENTO="Manual",$M157=1),$M157&gt;(ROW(PLE.lastrow)-ROW(PLE.firstrow))),0,IF(OFFSET(PLE!$G$14,$M157,BA$13)="",10^12,OFFSET(PLE!$G$14,$M157,BA$13))))</f>
        <v>1000000000000</v>
      </c>
      <c r="BB157" s="182">
        <f ca="1">IF($D157&lt;&gt;"Serviço",0,IF(OR(AND(AUTOEVENTO="Manual",$M157=1),$M157&gt;(ROW(PLE.lastrow)-ROW(PLE.firstrow))),0,IF(OFFSET(PLE!$G$14,$M157,BB$13)="",10^12,OFFSET(PLE!$G$14,$M157,BB$13))))</f>
        <v>1000000000000</v>
      </c>
      <c r="BC157" s="182">
        <f ca="1">IF($D157&lt;&gt;"Serviço",0,IF(OR(AND(AUTOEVENTO="Manual",$M157=1),$M157&gt;(ROW(PLE.lastrow)-ROW(PLE.firstrow))),0,IF(OFFSET(PLE!$G$14,$M157,BC$13)="",10^12,OFFSET(PLE!$G$14,$M157,BC$13))))</f>
        <v>1000000000000</v>
      </c>
      <c r="BD157" s="182">
        <f ca="1">IF($D157&lt;&gt;"Serviço",0,IF(OR(AND(AUTOEVENTO="Manual",$M157=1),$M157&gt;(ROW(PLE.lastrow)-ROW(PLE.firstrow))),0,IF(OFFSET(PLE!$G$14,$M157,BD$13)="",10^12,OFFSET(PLE!$G$14,$M157,BD$13))))</f>
        <v>1000000000000</v>
      </c>
      <c r="BE157" s="182">
        <f ca="1">IF($D157&lt;&gt;"Serviço",0,IF(OR(AND(AUTOEVENTO="Manual",$M157=1),$M157&gt;(ROW(PLE.lastrow)-ROW(PLE.firstrow))),0,IF(OFFSET(PLE!$G$14,$M157,BE$13)="",10^12,OFFSET(PLE!$G$14,$M157,BE$13))))</f>
        <v>1000000000000</v>
      </c>
      <c r="BF157" s="182">
        <f ca="1">IF($D157&lt;&gt;"Serviço",0,IF(OR(AND(AUTOEVENTO="Manual",$M157=1),$M157&gt;(ROW(PLE.lastrow)-ROW(PLE.firstrow))),0,IF(OFFSET(PLE!$G$14,$M157,BF$13)="",10^12,OFFSET(PLE!$G$14,$M157,BF$13))))</f>
        <v>1000000000000</v>
      </c>
      <c r="BG157" s="182">
        <f ca="1">IF($D157&lt;&gt;"Serviço",0,IF(OR(AND(AUTOEVENTO="Manual",$M157=1),$M157&gt;(ROW(PLE.lastrow)-ROW(PLE.firstrow))),0,IF(OFFSET(PLE!$G$14,$M157,BG$13)="",10^12,OFFSET(PLE!$G$14,$M157,BG$13))))</f>
        <v>1000000000000</v>
      </c>
    </row>
    <row r="158" spans="1:59" ht="38.25" x14ac:dyDescent="0.2">
      <c r="A158" s="7" t="str">
        <f t="shared" ca="1" si="13"/>
        <v>141</v>
      </c>
      <c r="B158" s="7" t="str">
        <f ca="1">OFFSET(ORÇAMENTO!C$15,ROW(B158)-ROW(B$15),0)</f>
        <v>S</v>
      </c>
      <c r="C158" s="7" t="str">
        <f ca="1">OFFSET(ORÇAMENTO!L$15,ROW(C158)-ROW(C$15),0)</f>
        <v>F</v>
      </c>
      <c r="D158" s="118" t="str">
        <f ca="1">OFFSET(ORÇAMENTO!N$15,ROW(D158)-ROW(D$15),0)</f>
        <v>Serviço</v>
      </c>
      <c r="E158" s="119" t="str">
        <f ca="1">OFFSET(ORÇAMENTO!O$15,ROW(E158)-ROW(E$15),0)</f>
        <v>10.2.2.</v>
      </c>
      <c r="F158" s="172" t="str">
        <f ca="1">OFFSET(ORÇAMENTO!R$15,ROW(F158)-ROW(F$15),0)</f>
        <v>CAIXA DE INSPECAO PARA ATERRAMENTO E PARA RAIOS, EM POLIPROPILENO, DIAMETRO = 300 MM X ALTURA = 400 MM (INCLUIDA TAMPA SEM ESCOTILHA)</v>
      </c>
      <c r="G158" s="173" t="str">
        <f ca="1">IF($D158&lt;&gt;"Serviço","",OFFSET(ORÇAMENTO!S$15,ROW(G158)-ROW(G$15),0))</f>
        <v>UN</v>
      </c>
      <c r="H158" s="124">
        <f ca="1">IF($D158&lt;&gt;"Serviço",0,IF(ACOMPANHAMENTO="BM",ROUND(OFFSET(ORÇAMENTO!AJ$15,ROW(H158)-ROW(H$15),0),15-13*ORÇAMENTO!$AF$7),SUMPRODUCT(($Q$12:$AA$12&lt;&gt;"")*ROUND($Q158:$AA158,15-13*ORÇAMENTO!$AF$7))))</f>
        <v>6</v>
      </c>
      <c r="I158" s="561"/>
      <c r="K158" s="174"/>
      <c r="L158" s="175" t="s">
        <v>255</v>
      </c>
      <c r="M158" s="176">
        <f ca="1">IF($D158&lt;&gt;"Serviço","",IF(AUTOEVENTO="manual",$A158,IF(ISERROR(MATCH($A158,$A$15:OFFSET($A158,-1,0),0)),MAX($M$15:OFFSET(M158,-1,0))+1,INDEX($M$15:OFFSET(M158,-1,0),MATCH($A158,$A$15:OFFSET($A158,-1,0),0)))))</f>
        <v>23</v>
      </c>
      <c r="N158" s="177" t="str">
        <f ca="1">IF($D158&lt;&gt;"Serviço","",IF(AUTOEVENTO="Manual",IF($A158=0,"&lt;-- defina o número do agrupador",OFFSET(EVENTOS!$D$14,$A158,0)),OFFSET($F$15,$A158,0)))</f>
        <v>ILUMINAÇÃO</v>
      </c>
      <c r="O158" s="178"/>
      <c r="Q158" s="178"/>
      <c r="R158" s="179"/>
      <c r="S158" s="179"/>
      <c r="T158" s="179"/>
      <c r="U158" s="179"/>
      <c r="V158" s="179"/>
      <c r="W158" s="179"/>
      <c r="X158" s="179"/>
      <c r="Y158" s="179"/>
      <c r="Z158" s="180"/>
      <c r="AB158" s="544">
        <f ca="1">IF(AND($D158="Serviço",AB$12&lt;&gt;0,$H158&gt;0,OR(AUTOEVENTO&lt;&gt;"manual",$M158&lt;&gt;1)),
IF(Import.TipoArredondamento&lt;&gt;"TransfereGOV",
ROUND(OFFSET($P158,0,AB$13),15-13*ORÇAMENTO!$AF$7)/$H158*OFFSET(ORÇAMENTO!$X$15,ROW(AB158)-ROW(AB$15),0),
ROUND(ROUND(OFFSET($P158,0,AB$13),15-13*ORÇAMENTO!$AF$7)*OFFSET(ORÇAMENTO!$W$15,ROW(AB158)-ROW(AB$15),0),15-13*ORÇAMENTO!$AF$11)),0)</f>
        <v>0</v>
      </c>
      <c r="AC158" s="545">
        <f ca="1">IF(AND($D158="Serviço",AC$12&lt;&gt;0,$H158&gt;0,OR(AUTOEVENTO&lt;&gt;"manual",$M158&lt;&gt;1)),
IF(Import.TipoArredondamento&lt;&gt;"TransfereGOV",
ROUND(OFFSET($P158,0,AC$13),15-13*ORÇAMENTO!$AF$7)/$H158*OFFSET(ORÇAMENTO!$X$15,ROW(AC158)-ROW(AC$15),0),
ROUND(ROUND(OFFSET($P158,0,AC$13),15-13*ORÇAMENTO!$AF$7)*OFFSET(ORÇAMENTO!$W$15,ROW(AC158)-ROW(AC$15),0),15-13*ORÇAMENTO!$AF$11)),0)</f>
        <v>0</v>
      </c>
      <c r="AD158" s="545">
        <f ca="1">IF(AND($D158="Serviço",AD$12&lt;&gt;0,$H158&gt;0,OR(AUTOEVENTO&lt;&gt;"manual",$M158&lt;&gt;1)),
IF(Import.TipoArredondamento&lt;&gt;"TransfereGOV",
ROUND(OFFSET($P158,0,AD$13),15-13*ORÇAMENTO!$AF$7)/$H158*OFFSET(ORÇAMENTO!$X$15,ROW(AD158)-ROW(AD$15),0),
ROUND(ROUND(OFFSET($P158,0,AD$13),15-13*ORÇAMENTO!$AF$7)*OFFSET(ORÇAMENTO!$W$15,ROW(AD158)-ROW(AD$15),0),15-13*ORÇAMENTO!$AF$11)),0)</f>
        <v>0</v>
      </c>
      <c r="AE158" s="545">
        <f ca="1">IF(AND($D158="Serviço",AE$12&lt;&gt;0,$H158&gt;0,OR(AUTOEVENTO&lt;&gt;"manual",$M158&lt;&gt;1)),
IF(Import.TipoArredondamento&lt;&gt;"TransfereGOV",
ROUND(OFFSET($P158,0,AE$13),15-13*ORÇAMENTO!$AF$7)/$H158*OFFSET(ORÇAMENTO!$X$15,ROW(AE158)-ROW(AE$15),0),
ROUND(ROUND(OFFSET($P158,0,AE$13),15-13*ORÇAMENTO!$AF$7)*OFFSET(ORÇAMENTO!$W$15,ROW(AE158)-ROW(AE$15),0),15-13*ORÇAMENTO!$AF$11)),0)</f>
        <v>0</v>
      </c>
      <c r="AF158" s="545">
        <f ca="1">IF(AND($D158="Serviço",AF$12&lt;&gt;0,$H158&gt;0,OR(AUTOEVENTO&lt;&gt;"manual",$M158&lt;&gt;1)),
IF(Import.TipoArredondamento&lt;&gt;"TransfereGOV",
ROUND(OFFSET($P158,0,AF$13),15-13*ORÇAMENTO!$AF$7)/$H158*OFFSET(ORÇAMENTO!$X$15,ROW(AF158)-ROW(AF$15),0),
ROUND(ROUND(OFFSET($P158,0,AF$13),15-13*ORÇAMENTO!$AF$7)*OFFSET(ORÇAMENTO!$W$15,ROW(AF158)-ROW(AF$15),0),15-13*ORÇAMENTO!$AF$11)),0)</f>
        <v>0</v>
      </c>
      <c r="AG158" s="545">
        <f ca="1">IF(AND($D158="Serviço",AG$12&lt;&gt;0,$H158&gt;0,OR(AUTOEVENTO&lt;&gt;"manual",$M158&lt;&gt;1)),
IF(Import.TipoArredondamento&lt;&gt;"TransfereGOV",
ROUND(OFFSET($P158,0,AG$13),15-13*ORÇAMENTO!$AF$7)/$H158*OFFSET(ORÇAMENTO!$X$15,ROW(AG158)-ROW(AG$15),0),
ROUND(ROUND(OFFSET($P158,0,AG$13),15-13*ORÇAMENTO!$AF$7)*OFFSET(ORÇAMENTO!$W$15,ROW(AG158)-ROW(AG$15),0),15-13*ORÇAMENTO!$AF$11)),0)</f>
        <v>0</v>
      </c>
      <c r="AH158" s="545">
        <f ca="1">IF(AND($D158="Serviço",AH$12&lt;&gt;0,$H158&gt;0,OR(AUTOEVENTO&lt;&gt;"manual",$M158&lt;&gt;1)),
IF(Import.TipoArredondamento&lt;&gt;"TransfereGOV",
ROUND(OFFSET($P158,0,AH$13),15-13*ORÇAMENTO!$AF$7)/$H158*OFFSET(ORÇAMENTO!$X$15,ROW(AH158)-ROW(AH$15),0),
ROUND(ROUND(OFFSET($P158,0,AH$13),15-13*ORÇAMENTO!$AF$7)*OFFSET(ORÇAMENTO!$W$15,ROW(AH158)-ROW(AH$15),0),15-13*ORÇAMENTO!$AF$11)),0)</f>
        <v>0</v>
      </c>
      <c r="AI158" s="545">
        <f ca="1">IF(AND($D158="Serviço",AI$12&lt;&gt;0,$H158&gt;0,OR(AUTOEVENTO&lt;&gt;"manual",$M158&lt;&gt;1)),
IF(Import.TipoArredondamento&lt;&gt;"TransfereGOV",
ROUND(OFFSET($P158,0,AI$13),15-13*ORÇAMENTO!$AF$7)/$H158*OFFSET(ORÇAMENTO!$X$15,ROW(AI158)-ROW(AI$15),0),
ROUND(ROUND(OFFSET($P158,0,AI$13),15-13*ORÇAMENTO!$AF$7)*OFFSET(ORÇAMENTO!$W$15,ROW(AI158)-ROW(AI$15),0),15-13*ORÇAMENTO!$AF$11)),0)</f>
        <v>0</v>
      </c>
      <c r="AJ158" s="545">
        <f ca="1">IF(AND($D158="Serviço",AJ$12&lt;&gt;0,$H158&gt;0,OR(AUTOEVENTO&lt;&gt;"manual",$M158&lt;&gt;1)),
IF(Import.TipoArredondamento&lt;&gt;"TransfereGOV",
ROUND(OFFSET($P158,0,AJ$13),15-13*ORÇAMENTO!$AF$7)/$H158*OFFSET(ORÇAMENTO!$X$15,ROW(AJ158)-ROW(AJ$15),0),
ROUND(ROUND(OFFSET($P158,0,AJ$13),15-13*ORÇAMENTO!$AF$7)*OFFSET(ORÇAMENTO!$W$15,ROW(AJ158)-ROW(AJ$15),0),15-13*ORÇAMENTO!$AF$11)),0)</f>
        <v>0</v>
      </c>
      <c r="AK158" s="546">
        <f ca="1">IF(AND($D158="Serviço",AK$12&lt;&gt;0,$H158&gt;0,OR(AUTOEVENTO&lt;&gt;"manual",$M158&lt;&gt;1)),
IF(Import.TipoArredondamento&lt;&gt;"TransfereGOV",
ROUND(OFFSET($P158,0,AK$13),15-13*ORÇAMENTO!$AF$7)/$H158*OFFSET(ORÇAMENTO!$X$15,ROW(AK158)-ROW(AK$15),0),
ROUND(ROUND(OFFSET($P158,0,AK$13),15-13*ORÇAMENTO!$AF$7)*OFFSET(ORÇAMENTO!$W$15,ROW(AK158)-ROW(AK$15),0),15-13*ORÇAMENTO!$AF$11)),0)</f>
        <v>0</v>
      </c>
      <c r="AM158" s="181">
        <f ca="1">IF($D158&lt;&gt;"Serviço",0,IF(AND(AUTOEVENTO="Manual",$M158=1),0,IF(OFFSET(CRONOPLE!$F$14,$M158,AM$13)="",10^12,OFFSET(CRONOPLE!$F$14,$M158,AM$13))))</f>
        <v>1000000000000</v>
      </c>
      <c r="AN158" s="181">
        <f ca="1">IF($D158&lt;&gt;"Serviço",0,IF(AND(AUTOEVENTO="Manual",$M158=1),0,IF(OFFSET(CRONOPLE!$F$14,$M158,AN$13)="",10^12,OFFSET(CRONOPLE!$F$14,$M158,AN$13))))</f>
        <v>1000000000000</v>
      </c>
      <c r="AO158" s="181">
        <f ca="1">IF($D158&lt;&gt;"Serviço",0,IF(AND(AUTOEVENTO="Manual",$M158=1),0,IF(OFFSET(CRONOPLE!$F$14,$M158,AO$13)="",10^12,OFFSET(CRONOPLE!$F$14,$M158,AO$13))))</f>
        <v>1000000000000</v>
      </c>
      <c r="AP158" s="181">
        <f ca="1">IF($D158&lt;&gt;"Serviço",0,IF(AND(AUTOEVENTO="Manual",$M158=1),0,IF(OFFSET(CRONOPLE!$F$14,$M158,AP$13)="",10^12,OFFSET(CRONOPLE!$F$14,$M158,AP$13))))</f>
        <v>1000000000000</v>
      </c>
      <c r="AQ158" s="181">
        <f ca="1">IF($D158&lt;&gt;"Serviço",0,IF(AND(AUTOEVENTO="Manual",$M158=1),0,IF(OFFSET(CRONOPLE!$F$14,$M158,AQ$13)="",10^12,OFFSET(CRONOPLE!$F$14,$M158,AQ$13))))</f>
        <v>1000000000000</v>
      </c>
      <c r="AR158" s="181">
        <f ca="1">IF($D158&lt;&gt;"Serviço",0,IF(AND(AUTOEVENTO="Manual",$M158=1),0,IF(OFFSET(CRONOPLE!$F$14,$M158,AR$13)="",10^12,OFFSET(CRONOPLE!$F$14,$M158,AR$13))))</f>
        <v>1000000000000</v>
      </c>
      <c r="AS158" s="181">
        <f ca="1">IF($D158&lt;&gt;"Serviço",0,IF(AND(AUTOEVENTO="Manual",$M158=1),0,IF(OFFSET(CRONOPLE!$F$14,$M158,AS$13)="",10^12,OFFSET(CRONOPLE!$F$14,$M158,AS$13))))</f>
        <v>1000000000000</v>
      </c>
      <c r="AT158" s="181">
        <f ca="1">IF($D158&lt;&gt;"Serviço",0,IF(AND(AUTOEVENTO="Manual",$M158=1),0,IF(OFFSET(CRONOPLE!$F$14,$M158,AT$13)="",10^12,OFFSET(CRONOPLE!$F$14,$M158,AT$13))))</f>
        <v>1000000000000</v>
      </c>
      <c r="AU158" s="181">
        <f ca="1">IF($D158&lt;&gt;"Serviço",0,IF(AND(AUTOEVENTO="Manual",$M158=1),0,IF(OFFSET(CRONOPLE!$F$14,$M158,AU$13)="",10^12,OFFSET(CRONOPLE!$F$14,$M158,AU$13))))</f>
        <v>1000000000000</v>
      </c>
      <c r="AV158" s="181">
        <f ca="1">IF($D158&lt;&gt;"Serviço",0,IF(AND(AUTOEVENTO="Manual",$M158=1),0,IF(OFFSET(CRONOPLE!$F$14,$M158,AV$13)="",10^12,OFFSET(CRONOPLE!$F$14,$M158,AV$13))))</f>
        <v>1000000000000</v>
      </c>
      <c r="AX158" s="182">
        <f ca="1">IF($D158&lt;&gt;"Serviço",0,IF(OR(AND(AUTOEVENTO="Manual",$M158=1),$M158&gt;(ROW(PLE.lastrow)-ROW(PLE.firstrow))),0,IF(OFFSET(PLE!$G$14,$M158,AX$13)="",10^12,OFFSET(PLE!$G$14,$M158,AX$13))))</f>
        <v>1000000000000</v>
      </c>
      <c r="AY158" s="182">
        <f ca="1">IF($D158&lt;&gt;"Serviço",0,IF(OR(AND(AUTOEVENTO="Manual",$M158=1),$M158&gt;(ROW(PLE.lastrow)-ROW(PLE.firstrow))),0,IF(OFFSET(PLE!$G$14,$M158,AY$13)="",10^12,OFFSET(PLE!$G$14,$M158,AY$13))))</f>
        <v>1000000000000</v>
      </c>
      <c r="AZ158" s="182">
        <f ca="1">IF($D158&lt;&gt;"Serviço",0,IF(OR(AND(AUTOEVENTO="Manual",$M158=1),$M158&gt;(ROW(PLE.lastrow)-ROW(PLE.firstrow))),0,IF(OFFSET(PLE!$G$14,$M158,AZ$13)="",10^12,OFFSET(PLE!$G$14,$M158,AZ$13))))</f>
        <v>1000000000000</v>
      </c>
      <c r="BA158" s="182">
        <f ca="1">IF($D158&lt;&gt;"Serviço",0,IF(OR(AND(AUTOEVENTO="Manual",$M158=1),$M158&gt;(ROW(PLE.lastrow)-ROW(PLE.firstrow))),0,IF(OFFSET(PLE!$G$14,$M158,BA$13)="",10^12,OFFSET(PLE!$G$14,$M158,BA$13))))</f>
        <v>1000000000000</v>
      </c>
      <c r="BB158" s="182">
        <f ca="1">IF($D158&lt;&gt;"Serviço",0,IF(OR(AND(AUTOEVENTO="Manual",$M158=1),$M158&gt;(ROW(PLE.lastrow)-ROW(PLE.firstrow))),0,IF(OFFSET(PLE!$G$14,$M158,BB$13)="",10^12,OFFSET(PLE!$G$14,$M158,BB$13))))</f>
        <v>1000000000000</v>
      </c>
      <c r="BC158" s="182">
        <f ca="1">IF($D158&lt;&gt;"Serviço",0,IF(OR(AND(AUTOEVENTO="Manual",$M158=1),$M158&gt;(ROW(PLE.lastrow)-ROW(PLE.firstrow))),0,IF(OFFSET(PLE!$G$14,$M158,BC$13)="",10^12,OFFSET(PLE!$G$14,$M158,BC$13))))</f>
        <v>1000000000000</v>
      </c>
      <c r="BD158" s="182">
        <f ca="1">IF($D158&lt;&gt;"Serviço",0,IF(OR(AND(AUTOEVENTO="Manual",$M158=1),$M158&gt;(ROW(PLE.lastrow)-ROW(PLE.firstrow))),0,IF(OFFSET(PLE!$G$14,$M158,BD$13)="",10^12,OFFSET(PLE!$G$14,$M158,BD$13))))</f>
        <v>1000000000000</v>
      </c>
      <c r="BE158" s="182">
        <f ca="1">IF($D158&lt;&gt;"Serviço",0,IF(OR(AND(AUTOEVENTO="Manual",$M158=1),$M158&gt;(ROW(PLE.lastrow)-ROW(PLE.firstrow))),0,IF(OFFSET(PLE!$G$14,$M158,BE$13)="",10^12,OFFSET(PLE!$G$14,$M158,BE$13))))</f>
        <v>1000000000000</v>
      </c>
      <c r="BF158" s="182">
        <f ca="1">IF($D158&lt;&gt;"Serviço",0,IF(OR(AND(AUTOEVENTO="Manual",$M158=1),$M158&gt;(ROW(PLE.lastrow)-ROW(PLE.firstrow))),0,IF(OFFSET(PLE!$G$14,$M158,BF$13)="",10^12,OFFSET(PLE!$G$14,$M158,BF$13))))</f>
        <v>1000000000000</v>
      </c>
      <c r="BG158" s="182">
        <f ca="1">IF($D158&lt;&gt;"Serviço",0,IF(OR(AND(AUTOEVENTO="Manual",$M158=1),$M158&gt;(ROW(PLE.lastrow)-ROW(PLE.firstrow))),0,IF(OFFSET(PLE!$G$14,$M158,BG$13)="",10^12,OFFSET(PLE!$G$14,$M158,BG$13))))</f>
        <v>1000000000000</v>
      </c>
    </row>
    <row r="159" spans="1:59" ht="25.5" x14ac:dyDescent="0.2">
      <c r="A159" s="7" t="str">
        <f t="shared" ca="1" si="13"/>
        <v>141</v>
      </c>
      <c r="B159" s="7" t="str">
        <f ca="1">OFFSET(ORÇAMENTO!C$15,ROW(B159)-ROW(B$15),0)</f>
        <v>S</v>
      </c>
      <c r="C159" s="7" t="str">
        <f ca="1">OFFSET(ORÇAMENTO!L$15,ROW(C159)-ROW(C$15),0)</f>
        <v>F</v>
      </c>
      <c r="D159" s="118" t="str">
        <f ca="1">OFFSET(ORÇAMENTO!N$15,ROW(D159)-ROW(D$15),0)</f>
        <v>Serviço</v>
      </c>
      <c r="E159" s="119" t="str">
        <f ca="1">OFFSET(ORÇAMENTO!O$15,ROW(E159)-ROW(E$15),0)</f>
        <v>10.2.3.</v>
      </c>
      <c r="F159" s="172" t="str">
        <f ca="1">OFFSET(ORÇAMENTO!R$15,ROW(F159)-ROW(F$15),0)</f>
        <v>HASTE DE ATERRAMENTO, DIÂMETRO 5/8", COM 3 METROS - FORNECIMENTO E INSTALAÇÃO. AF_08/2023</v>
      </c>
      <c r="G159" s="173" t="str">
        <f ca="1">IF($D159&lt;&gt;"Serviço","",OFFSET(ORÇAMENTO!S$15,ROW(G159)-ROW(G$15),0))</f>
        <v>UN</v>
      </c>
      <c r="H159" s="124">
        <f ca="1">IF($D159&lt;&gt;"Serviço",0,IF(ACOMPANHAMENTO="BM",ROUND(OFFSET(ORÇAMENTO!AJ$15,ROW(H159)-ROW(H$15),0),15-13*ORÇAMENTO!$AF$7),SUMPRODUCT(($Q$12:$AA$12&lt;&gt;"")*ROUND($Q159:$AA159,15-13*ORÇAMENTO!$AF$7))))</f>
        <v>6</v>
      </c>
      <c r="I159" s="561"/>
      <c r="K159" s="174"/>
      <c r="L159" s="175" t="s">
        <v>255</v>
      </c>
      <c r="M159" s="176">
        <f ca="1">IF($D159&lt;&gt;"Serviço","",IF(AUTOEVENTO="manual",$A159,IF(ISERROR(MATCH($A159,$A$15:OFFSET($A159,-1,0),0)),MAX($M$15:OFFSET(M159,-1,0))+1,INDEX($M$15:OFFSET(M159,-1,0),MATCH($A159,$A$15:OFFSET($A159,-1,0),0)))))</f>
        <v>23</v>
      </c>
      <c r="N159" s="177" t="str">
        <f ca="1">IF($D159&lt;&gt;"Serviço","",IF(AUTOEVENTO="Manual",IF($A159=0,"&lt;-- defina o número do agrupador",OFFSET(EVENTOS!$D$14,$A159,0)),OFFSET($F$15,$A159,0)))</f>
        <v>ILUMINAÇÃO</v>
      </c>
      <c r="O159" s="178"/>
      <c r="Q159" s="178"/>
      <c r="R159" s="179"/>
      <c r="S159" s="179"/>
      <c r="T159" s="179"/>
      <c r="U159" s="179"/>
      <c r="V159" s="179"/>
      <c r="W159" s="179"/>
      <c r="X159" s="179"/>
      <c r="Y159" s="179"/>
      <c r="Z159" s="180"/>
      <c r="AB159" s="544">
        <f ca="1">IF(AND($D159="Serviço",AB$12&lt;&gt;0,$H159&gt;0,OR(AUTOEVENTO&lt;&gt;"manual",$M159&lt;&gt;1)),
IF(Import.TipoArredondamento&lt;&gt;"TransfereGOV",
ROUND(OFFSET($P159,0,AB$13),15-13*ORÇAMENTO!$AF$7)/$H159*OFFSET(ORÇAMENTO!$X$15,ROW(AB159)-ROW(AB$15),0),
ROUND(ROUND(OFFSET($P159,0,AB$13),15-13*ORÇAMENTO!$AF$7)*OFFSET(ORÇAMENTO!$W$15,ROW(AB159)-ROW(AB$15),0),15-13*ORÇAMENTO!$AF$11)),0)</f>
        <v>0</v>
      </c>
      <c r="AC159" s="545">
        <f ca="1">IF(AND($D159="Serviço",AC$12&lt;&gt;0,$H159&gt;0,OR(AUTOEVENTO&lt;&gt;"manual",$M159&lt;&gt;1)),
IF(Import.TipoArredondamento&lt;&gt;"TransfereGOV",
ROUND(OFFSET($P159,0,AC$13),15-13*ORÇAMENTO!$AF$7)/$H159*OFFSET(ORÇAMENTO!$X$15,ROW(AC159)-ROW(AC$15),0),
ROUND(ROUND(OFFSET($P159,0,AC$13),15-13*ORÇAMENTO!$AF$7)*OFFSET(ORÇAMENTO!$W$15,ROW(AC159)-ROW(AC$15),0),15-13*ORÇAMENTO!$AF$11)),0)</f>
        <v>0</v>
      </c>
      <c r="AD159" s="545">
        <f ca="1">IF(AND($D159="Serviço",AD$12&lt;&gt;0,$H159&gt;0,OR(AUTOEVENTO&lt;&gt;"manual",$M159&lt;&gt;1)),
IF(Import.TipoArredondamento&lt;&gt;"TransfereGOV",
ROUND(OFFSET($P159,0,AD$13),15-13*ORÇAMENTO!$AF$7)/$H159*OFFSET(ORÇAMENTO!$X$15,ROW(AD159)-ROW(AD$15),0),
ROUND(ROUND(OFFSET($P159,0,AD$13),15-13*ORÇAMENTO!$AF$7)*OFFSET(ORÇAMENTO!$W$15,ROW(AD159)-ROW(AD$15),0),15-13*ORÇAMENTO!$AF$11)),0)</f>
        <v>0</v>
      </c>
      <c r="AE159" s="545">
        <f ca="1">IF(AND($D159="Serviço",AE$12&lt;&gt;0,$H159&gt;0,OR(AUTOEVENTO&lt;&gt;"manual",$M159&lt;&gt;1)),
IF(Import.TipoArredondamento&lt;&gt;"TransfereGOV",
ROUND(OFFSET($P159,0,AE$13),15-13*ORÇAMENTO!$AF$7)/$H159*OFFSET(ORÇAMENTO!$X$15,ROW(AE159)-ROW(AE$15),0),
ROUND(ROUND(OFFSET($P159,0,AE$13),15-13*ORÇAMENTO!$AF$7)*OFFSET(ORÇAMENTO!$W$15,ROW(AE159)-ROW(AE$15),0),15-13*ORÇAMENTO!$AF$11)),0)</f>
        <v>0</v>
      </c>
      <c r="AF159" s="545">
        <f ca="1">IF(AND($D159="Serviço",AF$12&lt;&gt;0,$H159&gt;0,OR(AUTOEVENTO&lt;&gt;"manual",$M159&lt;&gt;1)),
IF(Import.TipoArredondamento&lt;&gt;"TransfereGOV",
ROUND(OFFSET($P159,0,AF$13),15-13*ORÇAMENTO!$AF$7)/$H159*OFFSET(ORÇAMENTO!$X$15,ROW(AF159)-ROW(AF$15),0),
ROUND(ROUND(OFFSET($P159,0,AF$13),15-13*ORÇAMENTO!$AF$7)*OFFSET(ORÇAMENTO!$W$15,ROW(AF159)-ROW(AF$15),0),15-13*ORÇAMENTO!$AF$11)),0)</f>
        <v>0</v>
      </c>
      <c r="AG159" s="545">
        <f ca="1">IF(AND($D159="Serviço",AG$12&lt;&gt;0,$H159&gt;0,OR(AUTOEVENTO&lt;&gt;"manual",$M159&lt;&gt;1)),
IF(Import.TipoArredondamento&lt;&gt;"TransfereGOV",
ROUND(OFFSET($P159,0,AG$13),15-13*ORÇAMENTO!$AF$7)/$H159*OFFSET(ORÇAMENTO!$X$15,ROW(AG159)-ROW(AG$15),0),
ROUND(ROUND(OFFSET($P159,0,AG$13),15-13*ORÇAMENTO!$AF$7)*OFFSET(ORÇAMENTO!$W$15,ROW(AG159)-ROW(AG$15),0),15-13*ORÇAMENTO!$AF$11)),0)</f>
        <v>0</v>
      </c>
      <c r="AH159" s="545">
        <f ca="1">IF(AND($D159="Serviço",AH$12&lt;&gt;0,$H159&gt;0,OR(AUTOEVENTO&lt;&gt;"manual",$M159&lt;&gt;1)),
IF(Import.TipoArredondamento&lt;&gt;"TransfereGOV",
ROUND(OFFSET($P159,0,AH$13),15-13*ORÇAMENTO!$AF$7)/$H159*OFFSET(ORÇAMENTO!$X$15,ROW(AH159)-ROW(AH$15),0),
ROUND(ROUND(OFFSET($P159,0,AH$13),15-13*ORÇAMENTO!$AF$7)*OFFSET(ORÇAMENTO!$W$15,ROW(AH159)-ROW(AH$15),0),15-13*ORÇAMENTO!$AF$11)),0)</f>
        <v>0</v>
      </c>
      <c r="AI159" s="545">
        <f ca="1">IF(AND($D159="Serviço",AI$12&lt;&gt;0,$H159&gt;0,OR(AUTOEVENTO&lt;&gt;"manual",$M159&lt;&gt;1)),
IF(Import.TipoArredondamento&lt;&gt;"TransfereGOV",
ROUND(OFFSET($P159,0,AI$13),15-13*ORÇAMENTO!$AF$7)/$H159*OFFSET(ORÇAMENTO!$X$15,ROW(AI159)-ROW(AI$15),0),
ROUND(ROUND(OFFSET($P159,0,AI$13),15-13*ORÇAMENTO!$AF$7)*OFFSET(ORÇAMENTO!$W$15,ROW(AI159)-ROW(AI$15),0),15-13*ORÇAMENTO!$AF$11)),0)</f>
        <v>0</v>
      </c>
      <c r="AJ159" s="545">
        <f ca="1">IF(AND($D159="Serviço",AJ$12&lt;&gt;0,$H159&gt;0,OR(AUTOEVENTO&lt;&gt;"manual",$M159&lt;&gt;1)),
IF(Import.TipoArredondamento&lt;&gt;"TransfereGOV",
ROUND(OFFSET($P159,0,AJ$13),15-13*ORÇAMENTO!$AF$7)/$H159*OFFSET(ORÇAMENTO!$X$15,ROW(AJ159)-ROW(AJ$15),0),
ROUND(ROUND(OFFSET($P159,0,AJ$13),15-13*ORÇAMENTO!$AF$7)*OFFSET(ORÇAMENTO!$W$15,ROW(AJ159)-ROW(AJ$15),0),15-13*ORÇAMENTO!$AF$11)),0)</f>
        <v>0</v>
      </c>
      <c r="AK159" s="546">
        <f ca="1">IF(AND($D159="Serviço",AK$12&lt;&gt;0,$H159&gt;0,OR(AUTOEVENTO&lt;&gt;"manual",$M159&lt;&gt;1)),
IF(Import.TipoArredondamento&lt;&gt;"TransfereGOV",
ROUND(OFFSET($P159,0,AK$13),15-13*ORÇAMENTO!$AF$7)/$H159*OFFSET(ORÇAMENTO!$X$15,ROW(AK159)-ROW(AK$15),0),
ROUND(ROUND(OFFSET($P159,0,AK$13),15-13*ORÇAMENTO!$AF$7)*OFFSET(ORÇAMENTO!$W$15,ROW(AK159)-ROW(AK$15),0),15-13*ORÇAMENTO!$AF$11)),0)</f>
        <v>0</v>
      </c>
      <c r="AM159" s="181">
        <f ca="1">IF($D159&lt;&gt;"Serviço",0,IF(AND(AUTOEVENTO="Manual",$M159=1),0,IF(OFFSET(CRONOPLE!$F$14,$M159,AM$13)="",10^12,OFFSET(CRONOPLE!$F$14,$M159,AM$13))))</f>
        <v>1000000000000</v>
      </c>
      <c r="AN159" s="181">
        <f ca="1">IF($D159&lt;&gt;"Serviço",0,IF(AND(AUTOEVENTO="Manual",$M159=1),0,IF(OFFSET(CRONOPLE!$F$14,$M159,AN$13)="",10^12,OFFSET(CRONOPLE!$F$14,$M159,AN$13))))</f>
        <v>1000000000000</v>
      </c>
      <c r="AO159" s="181">
        <f ca="1">IF($D159&lt;&gt;"Serviço",0,IF(AND(AUTOEVENTO="Manual",$M159=1),0,IF(OFFSET(CRONOPLE!$F$14,$M159,AO$13)="",10^12,OFFSET(CRONOPLE!$F$14,$M159,AO$13))))</f>
        <v>1000000000000</v>
      </c>
      <c r="AP159" s="181">
        <f ca="1">IF($D159&lt;&gt;"Serviço",0,IF(AND(AUTOEVENTO="Manual",$M159=1),0,IF(OFFSET(CRONOPLE!$F$14,$M159,AP$13)="",10^12,OFFSET(CRONOPLE!$F$14,$M159,AP$13))))</f>
        <v>1000000000000</v>
      </c>
      <c r="AQ159" s="181">
        <f ca="1">IF($D159&lt;&gt;"Serviço",0,IF(AND(AUTOEVENTO="Manual",$M159=1),0,IF(OFFSET(CRONOPLE!$F$14,$M159,AQ$13)="",10^12,OFFSET(CRONOPLE!$F$14,$M159,AQ$13))))</f>
        <v>1000000000000</v>
      </c>
      <c r="AR159" s="181">
        <f ca="1">IF($D159&lt;&gt;"Serviço",0,IF(AND(AUTOEVENTO="Manual",$M159=1),0,IF(OFFSET(CRONOPLE!$F$14,$M159,AR$13)="",10^12,OFFSET(CRONOPLE!$F$14,$M159,AR$13))))</f>
        <v>1000000000000</v>
      </c>
      <c r="AS159" s="181">
        <f ca="1">IF($D159&lt;&gt;"Serviço",0,IF(AND(AUTOEVENTO="Manual",$M159=1),0,IF(OFFSET(CRONOPLE!$F$14,$M159,AS$13)="",10^12,OFFSET(CRONOPLE!$F$14,$M159,AS$13))))</f>
        <v>1000000000000</v>
      </c>
      <c r="AT159" s="181">
        <f ca="1">IF($D159&lt;&gt;"Serviço",0,IF(AND(AUTOEVENTO="Manual",$M159=1),0,IF(OFFSET(CRONOPLE!$F$14,$M159,AT$13)="",10^12,OFFSET(CRONOPLE!$F$14,$M159,AT$13))))</f>
        <v>1000000000000</v>
      </c>
      <c r="AU159" s="181">
        <f ca="1">IF($D159&lt;&gt;"Serviço",0,IF(AND(AUTOEVENTO="Manual",$M159=1),0,IF(OFFSET(CRONOPLE!$F$14,$M159,AU$13)="",10^12,OFFSET(CRONOPLE!$F$14,$M159,AU$13))))</f>
        <v>1000000000000</v>
      </c>
      <c r="AV159" s="181">
        <f ca="1">IF($D159&lt;&gt;"Serviço",0,IF(AND(AUTOEVENTO="Manual",$M159=1),0,IF(OFFSET(CRONOPLE!$F$14,$M159,AV$13)="",10^12,OFFSET(CRONOPLE!$F$14,$M159,AV$13))))</f>
        <v>1000000000000</v>
      </c>
      <c r="AX159" s="182">
        <f ca="1">IF($D159&lt;&gt;"Serviço",0,IF(OR(AND(AUTOEVENTO="Manual",$M159=1),$M159&gt;(ROW(PLE.lastrow)-ROW(PLE.firstrow))),0,IF(OFFSET(PLE!$G$14,$M159,AX$13)="",10^12,OFFSET(PLE!$G$14,$M159,AX$13))))</f>
        <v>1000000000000</v>
      </c>
      <c r="AY159" s="182">
        <f ca="1">IF($D159&lt;&gt;"Serviço",0,IF(OR(AND(AUTOEVENTO="Manual",$M159=1),$M159&gt;(ROW(PLE.lastrow)-ROW(PLE.firstrow))),0,IF(OFFSET(PLE!$G$14,$M159,AY$13)="",10^12,OFFSET(PLE!$G$14,$M159,AY$13))))</f>
        <v>1000000000000</v>
      </c>
      <c r="AZ159" s="182">
        <f ca="1">IF($D159&lt;&gt;"Serviço",0,IF(OR(AND(AUTOEVENTO="Manual",$M159=1),$M159&gt;(ROW(PLE.lastrow)-ROW(PLE.firstrow))),0,IF(OFFSET(PLE!$G$14,$M159,AZ$13)="",10^12,OFFSET(PLE!$G$14,$M159,AZ$13))))</f>
        <v>1000000000000</v>
      </c>
      <c r="BA159" s="182">
        <f ca="1">IF($D159&lt;&gt;"Serviço",0,IF(OR(AND(AUTOEVENTO="Manual",$M159=1),$M159&gt;(ROW(PLE.lastrow)-ROW(PLE.firstrow))),0,IF(OFFSET(PLE!$G$14,$M159,BA$13)="",10^12,OFFSET(PLE!$G$14,$M159,BA$13))))</f>
        <v>1000000000000</v>
      </c>
      <c r="BB159" s="182">
        <f ca="1">IF($D159&lt;&gt;"Serviço",0,IF(OR(AND(AUTOEVENTO="Manual",$M159=1),$M159&gt;(ROW(PLE.lastrow)-ROW(PLE.firstrow))),0,IF(OFFSET(PLE!$G$14,$M159,BB$13)="",10^12,OFFSET(PLE!$G$14,$M159,BB$13))))</f>
        <v>1000000000000</v>
      </c>
      <c r="BC159" s="182">
        <f ca="1">IF($D159&lt;&gt;"Serviço",0,IF(OR(AND(AUTOEVENTO="Manual",$M159=1),$M159&gt;(ROW(PLE.lastrow)-ROW(PLE.firstrow))),0,IF(OFFSET(PLE!$G$14,$M159,BC$13)="",10^12,OFFSET(PLE!$G$14,$M159,BC$13))))</f>
        <v>1000000000000</v>
      </c>
      <c r="BD159" s="182">
        <f ca="1">IF($D159&lt;&gt;"Serviço",0,IF(OR(AND(AUTOEVENTO="Manual",$M159=1),$M159&gt;(ROW(PLE.lastrow)-ROW(PLE.firstrow))),0,IF(OFFSET(PLE!$G$14,$M159,BD$13)="",10^12,OFFSET(PLE!$G$14,$M159,BD$13))))</f>
        <v>1000000000000</v>
      </c>
      <c r="BE159" s="182">
        <f ca="1">IF($D159&lt;&gt;"Serviço",0,IF(OR(AND(AUTOEVENTO="Manual",$M159=1),$M159&gt;(ROW(PLE.lastrow)-ROW(PLE.firstrow))),0,IF(OFFSET(PLE!$G$14,$M159,BE$13)="",10^12,OFFSET(PLE!$G$14,$M159,BE$13))))</f>
        <v>1000000000000</v>
      </c>
      <c r="BF159" s="182">
        <f ca="1">IF($D159&lt;&gt;"Serviço",0,IF(OR(AND(AUTOEVENTO="Manual",$M159=1),$M159&gt;(ROW(PLE.lastrow)-ROW(PLE.firstrow))),0,IF(OFFSET(PLE!$G$14,$M159,BF$13)="",10^12,OFFSET(PLE!$G$14,$M159,BF$13))))</f>
        <v>1000000000000</v>
      </c>
      <c r="BG159" s="182">
        <f ca="1">IF($D159&lt;&gt;"Serviço",0,IF(OR(AND(AUTOEVENTO="Manual",$M159=1),$M159&gt;(ROW(PLE.lastrow)-ROW(PLE.firstrow))),0,IF(OFFSET(PLE!$G$14,$M159,BG$13)="",10^12,OFFSET(PLE!$G$14,$M159,BG$13))))</f>
        <v>1000000000000</v>
      </c>
    </row>
    <row r="160" spans="1:59" ht="38.25" x14ac:dyDescent="0.2">
      <c r="A160" s="7" t="str">
        <f t="shared" ca="1" si="13"/>
        <v>141</v>
      </c>
      <c r="B160" s="7" t="str">
        <f ca="1">OFFSET(ORÇAMENTO!C$15,ROW(B160)-ROW(B$15),0)</f>
        <v>S</v>
      </c>
      <c r="C160" s="7" t="str">
        <f ca="1">OFFSET(ORÇAMENTO!L$15,ROW(C160)-ROW(C$15),0)</f>
        <v>F</v>
      </c>
      <c r="D160" s="118" t="str">
        <f ca="1">OFFSET(ORÇAMENTO!N$15,ROW(D160)-ROW(D$15),0)</f>
        <v>Serviço</v>
      </c>
      <c r="E160" s="119" t="str">
        <f ca="1">OFFSET(ORÇAMENTO!O$15,ROW(E160)-ROW(E$15),0)</f>
        <v>10.2.4.</v>
      </c>
      <c r="F160" s="172" t="str">
        <f ca="1">OFFSET(ORÇAMENTO!R$15,ROW(F160)-ROW(F$15),0)</f>
        <v>CABO DE COBRE FLEXÍVEL ISOLADO, 2,5 MM², ANTI-CHAMA 450/750 V, PARA CIRCUITOS TERMINAIS - FORNECIMENTO E INSTALAÇÃO. AF_03/2023</v>
      </c>
      <c r="G160" s="173" t="str">
        <f ca="1">IF($D160&lt;&gt;"Serviço","",OFFSET(ORÇAMENTO!S$15,ROW(G160)-ROW(G$15),0))</f>
        <v>M</v>
      </c>
      <c r="H160" s="124">
        <f ca="1">IF($D160&lt;&gt;"Serviço",0,IF(ACOMPANHAMENTO="BM",ROUND(OFFSET(ORÇAMENTO!AJ$15,ROW(H160)-ROW(H$15),0),15-13*ORÇAMENTO!$AF$7),SUMPRODUCT(($Q$12:$AA$12&lt;&gt;"")*ROUND($Q160:$AA160,15-13*ORÇAMENTO!$AF$7))))</f>
        <v>363</v>
      </c>
      <c r="I160" s="561"/>
      <c r="K160" s="174"/>
      <c r="L160" s="175" t="s">
        <v>255</v>
      </c>
      <c r="M160" s="176">
        <f ca="1">IF($D160&lt;&gt;"Serviço","",IF(AUTOEVENTO="manual",$A160,IF(ISERROR(MATCH($A160,$A$15:OFFSET($A160,-1,0),0)),MAX($M$15:OFFSET(M160,-1,0))+1,INDEX($M$15:OFFSET(M160,-1,0),MATCH($A160,$A$15:OFFSET($A160,-1,0),0)))))</f>
        <v>23</v>
      </c>
      <c r="N160" s="177" t="str">
        <f ca="1">IF($D160&lt;&gt;"Serviço","",IF(AUTOEVENTO="Manual",IF($A160=0,"&lt;-- defina o número do agrupador",OFFSET(EVENTOS!$D$14,$A160,0)),OFFSET($F$15,$A160,0)))</f>
        <v>ILUMINAÇÃO</v>
      </c>
      <c r="O160" s="178"/>
      <c r="Q160" s="178"/>
      <c r="R160" s="179"/>
      <c r="S160" s="179"/>
      <c r="T160" s="179"/>
      <c r="U160" s="179"/>
      <c r="V160" s="179"/>
      <c r="W160" s="179"/>
      <c r="X160" s="179"/>
      <c r="Y160" s="179"/>
      <c r="Z160" s="180"/>
      <c r="AB160" s="544">
        <f ca="1">IF(AND($D160="Serviço",AB$12&lt;&gt;0,$H160&gt;0,OR(AUTOEVENTO&lt;&gt;"manual",$M160&lt;&gt;1)),
IF(Import.TipoArredondamento&lt;&gt;"TransfereGOV",
ROUND(OFFSET($P160,0,AB$13),15-13*ORÇAMENTO!$AF$7)/$H160*OFFSET(ORÇAMENTO!$X$15,ROW(AB160)-ROW(AB$15),0),
ROUND(ROUND(OFFSET($P160,0,AB$13),15-13*ORÇAMENTO!$AF$7)*OFFSET(ORÇAMENTO!$W$15,ROW(AB160)-ROW(AB$15),0),15-13*ORÇAMENTO!$AF$11)),0)</f>
        <v>0</v>
      </c>
      <c r="AC160" s="545">
        <f ca="1">IF(AND($D160="Serviço",AC$12&lt;&gt;0,$H160&gt;0,OR(AUTOEVENTO&lt;&gt;"manual",$M160&lt;&gt;1)),
IF(Import.TipoArredondamento&lt;&gt;"TransfereGOV",
ROUND(OFFSET($P160,0,AC$13),15-13*ORÇAMENTO!$AF$7)/$H160*OFFSET(ORÇAMENTO!$X$15,ROW(AC160)-ROW(AC$15),0),
ROUND(ROUND(OFFSET($P160,0,AC$13),15-13*ORÇAMENTO!$AF$7)*OFFSET(ORÇAMENTO!$W$15,ROW(AC160)-ROW(AC$15),0),15-13*ORÇAMENTO!$AF$11)),0)</f>
        <v>0</v>
      </c>
      <c r="AD160" s="545">
        <f ca="1">IF(AND($D160="Serviço",AD$12&lt;&gt;0,$H160&gt;0,OR(AUTOEVENTO&lt;&gt;"manual",$M160&lt;&gt;1)),
IF(Import.TipoArredondamento&lt;&gt;"TransfereGOV",
ROUND(OFFSET($P160,0,AD$13),15-13*ORÇAMENTO!$AF$7)/$H160*OFFSET(ORÇAMENTO!$X$15,ROW(AD160)-ROW(AD$15),0),
ROUND(ROUND(OFFSET($P160,0,AD$13),15-13*ORÇAMENTO!$AF$7)*OFFSET(ORÇAMENTO!$W$15,ROW(AD160)-ROW(AD$15),0),15-13*ORÇAMENTO!$AF$11)),0)</f>
        <v>0</v>
      </c>
      <c r="AE160" s="545">
        <f ca="1">IF(AND($D160="Serviço",AE$12&lt;&gt;0,$H160&gt;0,OR(AUTOEVENTO&lt;&gt;"manual",$M160&lt;&gt;1)),
IF(Import.TipoArredondamento&lt;&gt;"TransfereGOV",
ROUND(OFFSET($P160,0,AE$13),15-13*ORÇAMENTO!$AF$7)/$H160*OFFSET(ORÇAMENTO!$X$15,ROW(AE160)-ROW(AE$15),0),
ROUND(ROUND(OFFSET($P160,0,AE$13),15-13*ORÇAMENTO!$AF$7)*OFFSET(ORÇAMENTO!$W$15,ROW(AE160)-ROW(AE$15),0),15-13*ORÇAMENTO!$AF$11)),0)</f>
        <v>0</v>
      </c>
      <c r="AF160" s="545">
        <f ca="1">IF(AND($D160="Serviço",AF$12&lt;&gt;0,$H160&gt;0,OR(AUTOEVENTO&lt;&gt;"manual",$M160&lt;&gt;1)),
IF(Import.TipoArredondamento&lt;&gt;"TransfereGOV",
ROUND(OFFSET($P160,0,AF$13),15-13*ORÇAMENTO!$AF$7)/$H160*OFFSET(ORÇAMENTO!$X$15,ROW(AF160)-ROW(AF$15),0),
ROUND(ROUND(OFFSET($P160,0,AF$13),15-13*ORÇAMENTO!$AF$7)*OFFSET(ORÇAMENTO!$W$15,ROW(AF160)-ROW(AF$15),0),15-13*ORÇAMENTO!$AF$11)),0)</f>
        <v>0</v>
      </c>
      <c r="AG160" s="545">
        <f ca="1">IF(AND($D160="Serviço",AG$12&lt;&gt;0,$H160&gt;0,OR(AUTOEVENTO&lt;&gt;"manual",$M160&lt;&gt;1)),
IF(Import.TipoArredondamento&lt;&gt;"TransfereGOV",
ROUND(OFFSET($P160,0,AG$13),15-13*ORÇAMENTO!$AF$7)/$H160*OFFSET(ORÇAMENTO!$X$15,ROW(AG160)-ROW(AG$15),0),
ROUND(ROUND(OFFSET($P160,0,AG$13),15-13*ORÇAMENTO!$AF$7)*OFFSET(ORÇAMENTO!$W$15,ROW(AG160)-ROW(AG$15),0),15-13*ORÇAMENTO!$AF$11)),0)</f>
        <v>0</v>
      </c>
      <c r="AH160" s="545">
        <f ca="1">IF(AND($D160="Serviço",AH$12&lt;&gt;0,$H160&gt;0,OR(AUTOEVENTO&lt;&gt;"manual",$M160&lt;&gt;1)),
IF(Import.TipoArredondamento&lt;&gt;"TransfereGOV",
ROUND(OFFSET($P160,0,AH$13),15-13*ORÇAMENTO!$AF$7)/$H160*OFFSET(ORÇAMENTO!$X$15,ROW(AH160)-ROW(AH$15),0),
ROUND(ROUND(OFFSET($P160,0,AH$13),15-13*ORÇAMENTO!$AF$7)*OFFSET(ORÇAMENTO!$W$15,ROW(AH160)-ROW(AH$15),0),15-13*ORÇAMENTO!$AF$11)),0)</f>
        <v>0</v>
      </c>
      <c r="AI160" s="545">
        <f ca="1">IF(AND($D160="Serviço",AI$12&lt;&gt;0,$H160&gt;0,OR(AUTOEVENTO&lt;&gt;"manual",$M160&lt;&gt;1)),
IF(Import.TipoArredondamento&lt;&gt;"TransfereGOV",
ROUND(OFFSET($P160,0,AI$13),15-13*ORÇAMENTO!$AF$7)/$H160*OFFSET(ORÇAMENTO!$X$15,ROW(AI160)-ROW(AI$15),0),
ROUND(ROUND(OFFSET($P160,0,AI$13),15-13*ORÇAMENTO!$AF$7)*OFFSET(ORÇAMENTO!$W$15,ROW(AI160)-ROW(AI$15),0),15-13*ORÇAMENTO!$AF$11)),0)</f>
        <v>0</v>
      </c>
      <c r="AJ160" s="545">
        <f ca="1">IF(AND($D160="Serviço",AJ$12&lt;&gt;0,$H160&gt;0,OR(AUTOEVENTO&lt;&gt;"manual",$M160&lt;&gt;1)),
IF(Import.TipoArredondamento&lt;&gt;"TransfereGOV",
ROUND(OFFSET($P160,0,AJ$13),15-13*ORÇAMENTO!$AF$7)/$H160*OFFSET(ORÇAMENTO!$X$15,ROW(AJ160)-ROW(AJ$15),0),
ROUND(ROUND(OFFSET($P160,0,AJ$13),15-13*ORÇAMENTO!$AF$7)*OFFSET(ORÇAMENTO!$W$15,ROW(AJ160)-ROW(AJ$15),0),15-13*ORÇAMENTO!$AF$11)),0)</f>
        <v>0</v>
      </c>
      <c r="AK160" s="546">
        <f ca="1">IF(AND($D160="Serviço",AK$12&lt;&gt;0,$H160&gt;0,OR(AUTOEVENTO&lt;&gt;"manual",$M160&lt;&gt;1)),
IF(Import.TipoArredondamento&lt;&gt;"TransfereGOV",
ROUND(OFFSET($P160,0,AK$13),15-13*ORÇAMENTO!$AF$7)/$H160*OFFSET(ORÇAMENTO!$X$15,ROW(AK160)-ROW(AK$15),0),
ROUND(ROUND(OFFSET($P160,0,AK$13),15-13*ORÇAMENTO!$AF$7)*OFFSET(ORÇAMENTO!$W$15,ROW(AK160)-ROW(AK$15),0),15-13*ORÇAMENTO!$AF$11)),0)</f>
        <v>0</v>
      </c>
      <c r="AM160" s="181">
        <f ca="1">IF($D160&lt;&gt;"Serviço",0,IF(AND(AUTOEVENTO="Manual",$M160=1),0,IF(OFFSET(CRONOPLE!$F$14,$M160,AM$13)="",10^12,OFFSET(CRONOPLE!$F$14,$M160,AM$13))))</f>
        <v>1000000000000</v>
      </c>
      <c r="AN160" s="181">
        <f ca="1">IF($D160&lt;&gt;"Serviço",0,IF(AND(AUTOEVENTO="Manual",$M160=1),0,IF(OFFSET(CRONOPLE!$F$14,$M160,AN$13)="",10^12,OFFSET(CRONOPLE!$F$14,$M160,AN$13))))</f>
        <v>1000000000000</v>
      </c>
      <c r="AO160" s="181">
        <f ca="1">IF($D160&lt;&gt;"Serviço",0,IF(AND(AUTOEVENTO="Manual",$M160=1),0,IF(OFFSET(CRONOPLE!$F$14,$M160,AO$13)="",10^12,OFFSET(CRONOPLE!$F$14,$M160,AO$13))))</f>
        <v>1000000000000</v>
      </c>
      <c r="AP160" s="181">
        <f ca="1">IF($D160&lt;&gt;"Serviço",0,IF(AND(AUTOEVENTO="Manual",$M160=1),0,IF(OFFSET(CRONOPLE!$F$14,$M160,AP$13)="",10^12,OFFSET(CRONOPLE!$F$14,$M160,AP$13))))</f>
        <v>1000000000000</v>
      </c>
      <c r="AQ160" s="181">
        <f ca="1">IF($D160&lt;&gt;"Serviço",0,IF(AND(AUTOEVENTO="Manual",$M160=1),0,IF(OFFSET(CRONOPLE!$F$14,$M160,AQ$13)="",10^12,OFFSET(CRONOPLE!$F$14,$M160,AQ$13))))</f>
        <v>1000000000000</v>
      </c>
      <c r="AR160" s="181">
        <f ca="1">IF($D160&lt;&gt;"Serviço",0,IF(AND(AUTOEVENTO="Manual",$M160=1),0,IF(OFFSET(CRONOPLE!$F$14,$M160,AR$13)="",10^12,OFFSET(CRONOPLE!$F$14,$M160,AR$13))))</f>
        <v>1000000000000</v>
      </c>
      <c r="AS160" s="181">
        <f ca="1">IF($D160&lt;&gt;"Serviço",0,IF(AND(AUTOEVENTO="Manual",$M160=1),0,IF(OFFSET(CRONOPLE!$F$14,$M160,AS$13)="",10^12,OFFSET(CRONOPLE!$F$14,$M160,AS$13))))</f>
        <v>1000000000000</v>
      </c>
      <c r="AT160" s="181">
        <f ca="1">IF($D160&lt;&gt;"Serviço",0,IF(AND(AUTOEVENTO="Manual",$M160=1),0,IF(OFFSET(CRONOPLE!$F$14,$M160,AT$13)="",10^12,OFFSET(CRONOPLE!$F$14,$M160,AT$13))))</f>
        <v>1000000000000</v>
      </c>
      <c r="AU160" s="181">
        <f ca="1">IF($D160&lt;&gt;"Serviço",0,IF(AND(AUTOEVENTO="Manual",$M160=1),0,IF(OFFSET(CRONOPLE!$F$14,$M160,AU$13)="",10^12,OFFSET(CRONOPLE!$F$14,$M160,AU$13))))</f>
        <v>1000000000000</v>
      </c>
      <c r="AV160" s="181">
        <f ca="1">IF($D160&lt;&gt;"Serviço",0,IF(AND(AUTOEVENTO="Manual",$M160=1),0,IF(OFFSET(CRONOPLE!$F$14,$M160,AV$13)="",10^12,OFFSET(CRONOPLE!$F$14,$M160,AV$13))))</f>
        <v>1000000000000</v>
      </c>
      <c r="AX160" s="182">
        <f ca="1">IF($D160&lt;&gt;"Serviço",0,IF(OR(AND(AUTOEVENTO="Manual",$M160=1),$M160&gt;(ROW(PLE.lastrow)-ROW(PLE.firstrow))),0,IF(OFFSET(PLE!$G$14,$M160,AX$13)="",10^12,OFFSET(PLE!$G$14,$M160,AX$13))))</f>
        <v>1000000000000</v>
      </c>
      <c r="AY160" s="182">
        <f ca="1">IF($D160&lt;&gt;"Serviço",0,IF(OR(AND(AUTOEVENTO="Manual",$M160=1),$M160&gt;(ROW(PLE.lastrow)-ROW(PLE.firstrow))),0,IF(OFFSET(PLE!$G$14,$M160,AY$13)="",10^12,OFFSET(PLE!$G$14,$M160,AY$13))))</f>
        <v>1000000000000</v>
      </c>
      <c r="AZ160" s="182">
        <f ca="1">IF($D160&lt;&gt;"Serviço",0,IF(OR(AND(AUTOEVENTO="Manual",$M160=1),$M160&gt;(ROW(PLE.lastrow)-ROW(PLE.firstrow))),0,IF(OFFSET(PLE!$G$14,$M160,AZ$13)="",10^12,OFFSET(PLE!$G$14,$M160,AZ$13))))</f>
        <v>1000000000000</v>
      </c>
      <c r="BA160" s="182">
        <f ca="1">IF($D160&lt;&gt;"Serviço",0,IF(OR(AND(AUTOEVENTO="Manual",$M160=1),$M160&gt;(ROW(PLE.lastrow)-ROW(PLE.firstrow))),0,IF(OFFSET(PLE!$G$14,$M160,BA$13)="",10^12,OFFSET(PLE!$G$14,$M160,BA$13))))</f>
        <v>1000000000000</v>
      </c>
      <c r="BB160" s="182">
        <f ca="1">IF($D160&lt;&gt;"Serviço",0,IF(OR(AND(AUTOEVENTO="Manual",$M160=1),$M160&gt;(ROW(PLE.lastrow)-ROW(PLE.firstrow))),0,IF(OFFSET(PLE!$G$14,$M160,BB$13)="",10^12,OFFSET(PLE!$G$14,$M160,BB$13))))</f>
        <v>1000000000000</v>
      </c>
      <c r="BC160" s="182">
        <f ca="1">IF($D160&lt;&gt;"Serviço",0,IF(OR(AND(AUTOEVENTO="Manual",$M160=1),$M160&gt;(ROW(PLE.lastrow)-ROW(PLE.firstrow))),0,IF(OFFSET(PLE!$G$14,$M160,BC$13)="",10^12,OFFSET(PLE!$G$14,$M160,BC$13))))</f>
        <v>1000000000000</v>
      </c>
      <c r="BD160" s="182">
        <f ca="1">IF($D160&lt;&gt;"Serviço",0,IF(OR(AND(AUTOEVENTO="Manual",$M160=1),$M160&gt;(ROW(PLE.lastrow)-ROW(PLE.firstrow))),0,IF(OFFSET(PLE!$G$14,$M160,BD$13)="",10^12,OFFSET(PLE!$G$14,$M160,BD$13))))</f>
        <v>1000000000000</v>
      </c>
      <c r="BE160" s="182">
        <f ca="1">IF($D160&lt;&gt;"Serviço",0,IF(OR(AND(AUTOEVENTO="Manual",$M160=1),$M160&gt;(ROW(PLE.lastrow)-ROW(PLE.firstrow))),0,IF(OFFSET(PLE!$G$14,$M160,BE$13)="",10^12,OFFSET(PLE!$G$14,$M160,BE$13))))</f>
        <v>1000000000000</v>
      </c>
      <c r="BF160" s="182">
        <f ca="1">IF($D160&lt;&gt;"Serviço",0,IF(OR(AND(AUTOEVENTO="Manual",$M160=1),$M160&gt;(ROW(PLE.lastrow)-ROW(PLE.firstrow))),0,IF(OFFSET(PLE!$G$14,$M160,BF$13)="",10^12,OFFSET(PLE!$G$14,$M160,BF$13))))</f>
        <v>1000000000000</v>
      </c>
      <c r="BG160" s="182">
        <f ca="1">IF($D160&lt;&gt;"Serviço",0,IF(OR(AND(AUTOEVENTO="Manual",$M160=1),$M160&gt;(ROW(PLE.lastrow)-ROW(PLE.firstrow))),0,IF(OFFSET(PLE!$G$14,$M160,BG$13)="",10^12,OFFSET(PLE!$G$14,$M160,BG$13))))</f>
        <v>1000000000000</v>
      </c>
    </row>
    <row r="161" spans="1:59" ht="25.5" x14ac:dyDescent="0.2">
      <c r="A161" s="7" t="str">
        <f t="shared" ca="1" si="13"/>
        <v>141</v>
      </c>
      <c r="B161" s="7" t="str">
        <f ca="1">OFFSET(ORÇAMENTO!C$15,ROW(B161)-ROW(B$15),0)</f>
        <v>S</v>
      </c>
      <c r="C161" s="7" t="str">
        <f ca="1">OFFSET(ORÇAMENTO!L$15,ROW(C161)-ROW(C$15),0)</f>
        <v>F</v>
      </c>
      <c r="D161" s="118" t="str">
        <f ca="1">OFFSET(ORÇAMENTO!N$15,ROW(D161)-ROW(D$15),0)</f>
        <v>Serviço</v>
      </c>
      <c r="E161" s="119" t="str">
        <f ca="1">OFFSET(ORÇAMENTO!O$15,ROW(E161)-ROW(E$15),0)</f>
        <v>10.2.5.</v>
      </c>
      <c r="F161" s="172" t="str">
        <f ca="1">OFFSET(ORÇAMENTO!R$15,ROW(F161)-ROW(F$15),0)</f>
        <v>ELETRODUTO PVC FLEXIVEL CORRUGADO, REFORCADO, COR LARANJA, DE 20 MM, PARA LAJES E PISOS</v>
      </c>
      <c r="G161" s="173" t="str">
        <f ca="1">IF($D161&lt;&gt;"Serviço","",OFFSET(ORÇAMENTO!S$15,ROW(G161)-ROW(G$15),0))</f>
        <v>M</v>
      </c>
      <c r="H161" s="124">
        <f ca="1">IF($D161&lt;&gt;"Serviço",0,IF(ACOMPANHAMENTO="BM",ROUND(OFFSET(ORÇAMENTO!AJ$15,ROW(H161)-ROW(H$15),0),15-13*ORÇAMENTO!$AF$7),SUMPRODUCT(($Q$12:$AA$12&lt;&gt;"")*ROUND($Q161:$AA161,15-13*ORÇAMENTO!$AF$7))))</f>
        <v>132</v>
      </c>
      <c r="I161" s="561"/>
      <c r="K161" s="174"/>
      <c r="L161" s="175" t="s">
        <v>255</v>
      </c>
      <c r="M161" s="176">
        <f ca="1">IF($D161&lt;&gt;"Serviço","",IF(AUTOEVENTO="manual",$A161,IF(ISERROR(MATCH($A161,$A$15:OFFSET($A161,-1,0),0)),MAX($M$15:OFFSET(M161,-1,0))+1,INDEX($M$15:OFFSET(M161,-1,0),MATCH($A161,$A$15:OFFSET($A161,-1,0),0)))))</f>
        <v>23</v>
      </c>
      <c r="N161" s="177" t="str">
        <f ca="1">IF($D161&lt;&gt;"Serviço","",IF(AUTOEVENTO="Manual",IF($A161=0,"&lt;-- defina o número do agrupador",OFFSET(EVENTOS!$D$14,$A161,0)),OFFSET($F$15,$A161,0)))</f>
        <v>ILUMINAÇÃO</v>
      </c>
      <c r="O161" s="178"/>
      <c r="Q161" s="178"/>
      <c r="R161" s="179"/>
      <c r="S161" s="179"/>
      <c r="T161" s="179"/>
      <c r="U161" s="179"/>
      <c r="V161" s="179"/>
      <c r="W161" s="179"/>
      <c r="X161" s="179"/>
      <c r="Y161" s="179"/>
      <c r="Z161" s="180"/>
      <c r="AB161" s="544">
        <f ca="1">IF(AND($D161="Serviço",AB$12&lt;&gt;0,$H161&gt;0,OR(AUTOEVENTO&lt;&gt;"manual",$M161&lt;&gt;1)),
IF(Import.TipoArredondamento&lt;&gt;"TransfereGOV",
ROUND(OFFSET($P161,0,AB$13),15-13*ORÇAMENTO!$AF$7)/$H161*OFFSET(ORÇAMENTO!$X$15,ROW(AB161)-ROW(AB$15),0),
ROUND(ROUND(OFFSET($P161,0,AB$13),15-13*ORÇAMENTO!$AF$7)*OFFSET(ORÇAMENTO!$W$15,ROW(AB161)-ROW(AB$15),0),15-13*ORÇAMENTO!$AF$11)),0)</f>
        <v>0</v>
      </c>
      <c r="AC161" s="545">
        <f ca="1">IF(AND($D161="Serviço",AC$12&lt;&gt;0,$H161&gt;0,OR(AUTOEVENTO&lt;&gt;"manual",$M161&lt;&gt;1)),
IF(Import.TipoArredondamento&lt;&gt;"TransfereGOV",
ROUND(OFFSET($P161,0,AC$13),15-13*ORÇAMENTO!$AF$7)/$H161*OFFSET(ORÇAMENTO!$X$15,ROW(AC161)-ROW(AC$15),0),
ROUND(ROUND(OFFSET($P161,0,AC$13),15-13*ORÇAMENTO!$AF$7)*OFFSET(ORÇAMENTO!$W$15,ROW(AC161)-ROW(AC$15),0),15-13*ORÇAMENTO!$AF$11)),0)</f>
        <v>0</v>
      </c>
      <c r="AD161" s="545">
        <f ca="1">IF(AND($D161="Serviço",AD$12&lt;&gt;0,$H161&gt;0,OR(AUTOEVENTO&lt;&gt;"manual",$M161&lt;&gt;1)),
IF(Import.TipoArredondamento&lt;&gt;"TransfereGOV",
ROUND(OFFSET($P161,0,AD$13),15-13*ORÇAMENTO!$AF$7)/$H161*OFFSET(ORÇAMENTO!$X$15,ROW(AD161)-ROW(AD$15),0),
ROUND(ROUND(OFFSET($P161,0,AD$13),15-13*ORÇAMENTO!$AF$7)*OFFSET(ORÇAMENTO!$W$15,ROW(AD161)-ROW(AD$15),0),15-13*ORÇAMENTO!$AF$11)),0)</f>
        <v>0</v>
      </c>
      <c r="AE161" s="545">
        <f ca="1">IF(AND($D161="Serviço",AE$12&lt;&gt;0,$H161&gt;0,OR(AUTOEVENTO&lt;&gt;"manual",$M161&lt;&gt;1)),
IF(Import.TipoArredondamento&lt;&gt;"TransfereGOV",
ROUND(OFFSET($P161,0,AE$13),15-13*ORÇAMENTO!$AF$7)/$H161*OFFSET(ORÇAMENTO!$X$15,ROW(AE161)-ROW(AE$15),0),
ROUND(ROUND(OFFSET($P161,0,AE$13),15-13*ORÇAMENTO!$AF$7)*OFFSET(ORÇAMENTO!$W$15,ROW(AE161)-ROW(AE$15),0),15-13*ORÇAMENTO!$AF$11)),0)</f>
        <v>0</v>
      </c>
      <c r="AF161" s="545">
        <f ca="1">IF(AND($D161="Serviço",AF$12&lt;&gt;0,$H161&gt;0,OR(AUTOEVENTO&lt;&gt;"manual",$M161&lt;&gt;1)),
IF(Import.TipoArredondamento&lt;&gt;"TransfereGOV",
ROUND(OFFSET($P161,0,AF$13),15-13*ORÇAMENTO!$AF$7)/$H161*OFFSET(ORÇAMENTO!$X$15,ROW(AF161)-ROW(AF$15),0),
ROUND(ROUND(OFFSET($P161,0,AF$13),15-13*ORÇAMENTO!$AF$7)*OFFSET(ORÇAMENTO!$W$15,ROW(AF161)-ROW(AF$15),0),15-13*ORÇAMENTO!$AF$11)),0)</f>
        <v>0</v>
      </c>
      <c r="AG161" s="545">
        <f ca="1">IF(AND($D161="Serviço",AG$12&lt;&gt;0,$H161&gt;0,OR(AUTOEVENTO&lt;&gt;"manual",$M161&lt;&gt;1)),
IF(Import.TipoArredondamento&lt;&gt;"TransfereGOV",
ROUND(OFFSET($P161,0,AG$13),15-13*ORÇAMENTO!$AF$7)/$H161*OFFSET(ORÇAMENTO!$X$15,ROW(AG161)-ROW(AG$15),0),
ROUND(ROUND(OFFSET($P161,0,AG$13),15-13*ORÇAMENTO!$AF$7)*OFFSET(ORÇAMENTO!$W$15,ROW(AG161)-ROW(AG$15),0),15-13*ORÇAMENTO!$AF$11)),0)</f>
        <v>0</v>
      </c>
      <c r="AH161" s="545">
        <f ca="1">IF(AND($D161="Serviço",AH$12&lt;&gt;0,$H161&gt;0,OR(AUTOEVENTO&lt;&gt;"manual",$M161&lt;&gt;1)),
IF(Import.TipoArredondamento&lt;&gt;"TransfereGOV",
ROUND(OFFSET($P161,0,AH$13),15-13*ORÇAMENTO!$AF$7)/$H161*OFFSET(ORÇAMENTO!$X$15,ROW(AH161)-ROW(AH$15),0),
ROUND(ROUND(OFFSET($P161,0,AH$13),15-13*ORÇAMENTO!$AF$7)*OFFSET(ORÇAMENTO!$W$15,ROW(AH161)-ROW(AH$15),0),15-13*ORÇAMENTO!$AF$11)),0)</f>
        <v>0</v>
      </c>
      <c r="AI161" s="545">
        <f ca="1">IF(AND($D161="Serviço",AI$12&lt;&gt;0,$H161&gt;0,OR(AUTOEVENTO&lt;&gt;"manual",$M161&lt;&gt;1)),
IF(Import.TipoArredondamento&lt;&gt;"TransfereGOV",
ROUND(OFFSET($P161,0,AI$13),15-13*ORÇAMENTO!$AF$7)/$H161*OFFSET(ORÇAMENTO!$X$15,ROW(AI161)-ROW(AI$15),0),
ROUND(ROUND(OFFSET($P161,0,AI$13),15-13*ORÇAMENTO!$AF$7)*OFFSET(ORÇAMENTO!$W$15,ROW(AI161)-ROW(AI$15),0),15-13*ORÇAMENTO!$AF$11)),0)</f>
        <v>0</v>
      </c>
      <c r="AJ161" s="545">
        <f ca="1">IF(AND($D161="Serviço",AJ$12&lt;&gt;0,$H161&gt;0,OR(AUTOEVENTO&lt;&gt;"manual",$M161&lt;&gt;1)),
IF(Import.TipoArredondamento&lt;&gt;"TransfereGOV",
ROUND(OFFSET($P161,0,AJ$13),15-13*ORÇAMENTO!$AF$7)/$H161*OFFSET(ORÇAMENTO!$X$15,ROW(AJ161)-ROW(AJ$15),0),
ROUND(ROUND(OFFSET($P161,0,AJ$13),15-13*ORÇAMENTO!$AF$7)*OFFSET(ORÇAMENTO!$W$15,ROW(AJ161)-ROW(AJ$15),0),15-13*ORÇAMENTO!$AF$11)),0)</f>
        <v>0</v>
      </c>
      <c r="AK161" s="546">
        <f ca="1">IF(AND($D161="Serviço",AK$12&lt;&gt;0,$H161&gt;0,OR(AUTOEVENTO&lt;&gt;"manual",$M161&lt;&gt;1)),
IF(Import.TipoArredondamento&lt;&gt;"TransfereGOV",
ROUND(OFFSET($P161,0,AK$13),15-13*ORÇAMENTO!$AF$7)/$H161*OFFSET(ORÇAMENTO!$X$15,ROW(AK161)-ROW(AK$15),0),
ROUND(ROUND(OFFSET($P161,0,AK$13),15-13*ORÇAMENTO!$AF$7)*OFFSET(ORÇAMENTO!$W$15,ROW(AK161)-ROW(AK$15),0),15-13*ORÇAMENTO!$AF$11)),0)</f>
        <v>0</v>
      </c>
      <c r="AM161" s="181">
        <f ca="1">IF($D161&lt;&gt;"Serviço",0,IF(AND(AUTOEVENTO="Manual",$M161=1),0,IF(OFFSET(CRONOPLE!$F$14,$M161,AM$13)="",10^12,OFFSET(CRONOPLE!$F$14,$M161,AM$13))))</f>
        <v>1000000000000</v>
      </c>
      <c r="AN161" s="181">
        <f ca="1">IF($D161&lt;&gt;"Serviço",0,IF(AND(AUTOEVENTO="Manual",$M161=1),0,IF(OFFSET(CRONOPLE!$F$14,$M161,AN$13)="",10^12,OFFSET(CRONOPLE!$F$14,$M161,AN$13))))</f>
        <v>1000000000000</v>
      </c>
      <c r="AO161" s="181">
        <f ca="1">IF($D161&lt;&gt;"Serviço",0,IF(AND(AUTOEVENTO="Manual",$M161=1),0,IF(OFFSET(CRONOPLE!$F$14,$M161,AO$13)="",10^12,OFFSET(CRONOPLE!$F$14,$M161,AO$13))))</f>
        <v>1000000000000</v>
      </c>
      <c r="AP161" s="181">
        <f ca="1">IF($D161&lt;&gt;"Serviço",0,IF(AND(AUTOEVENTO="Manual",$M161=1),0,IF(OFFSET(CRONOPLE!$F$14,$M161,AP$13)="",10^12,OFFSET(CRONOPLE!$F$14,$M161,AP$13))))</f>
        <v>1000000000000</v>
      </c>
      <c r="AQ161" s="181">
        <f ca="1">IF($D161&lt;&gt;"Serviço",0,IF(AND(AUTOEVENTO="Manual",$M161=1),0,IF(OFFSET(CRONOPLE!$F$14,$M161,AQ$13)="",10^12,OFFSET(CRONOPLE!$F$14,$M161,AQ$13))))</f>
        <v>1000000000000</v>
      </c>
      <c r="AR161" s="181">
        <f ca="1">IF($D161&lt;&gt;"Serviço",0,IF(AND(AUTOEVENTO="Manual",$M161=1),0,IF(OFFSET(CRONOPLE!$F$14,$M161,AR$13)="",10^12,OFFSET(CRONOPLE!$F$14,$M161,AR$13))))</f>
        <v>1000000000000</v>
      </c>
      <c r="AS161" s="181">
        <f ca="1">IF($D161&lt;&gt;"Serviço",0,IF(AND(AUTOEVENTO="Manual",$M161=1),0,IF(OFFSET(CRONOPLE!$F$14,$M161,AS$13)="",10^12,OFFSET(CRONOPLE!$F$14,$M161,AS$13))))</f>
        <v>1000000000000</v>
      </c>
      <c r="AT161" s="181">
        <f ca="1">IF($D161&lt;&gt;"Serviço",0,IF(AND(AUTOEVENTO="Manual",$M161=1),0,IF(OFFSET(CRONOPLE!$F$14,$M161,AT$13)="",10^12,OFFSET(CRONOPLE!$F$14,$M161,AT$13))))</f>
        <v>1000000000000</v>
      </c>
      <c r="AU161" s="181">
        <f ca="1">IF($D161&lt;&gt;"Serviço",0,IF(AND(AUTOEVENTO="Manual",$M161=1),0,IF(OFFSET(CRONOPLE!$F$14,$M161,AU$13)="",10^12,OFFSET(CRONOPLE!$F$14,$M161,AU$13))))</f>
        <v>1000000000000</v>
      </c>
      <c r="AV161" s="181">
        <f ca="1">IF($D161&lt;&gt;"Serviço",0,IF(AND(AUTOEVENTO="Manual",$M161=1),0,IF(OFFSET(CRONOPLE!$F$14,$M161,AV$13)="",10^12,OFFSET(CRONOPLE!$F$14,$M161,AV$13))))</f>
        <v>1000000000000</v>
      </c>
      <c r="AX161" s="182">
        <f ca="1">IF($D161&lt;&gt;"Serviço",0,IF(OR(AND(AUTOEVENTO="Manual",$M161=1),$M161&gt;(ROW(PLE.lastrow)-ROW(PLE.firstrow))),0,IF(OFFSET(PLE!$G$14,$M161,AX$13)="",10^12,OFFSET(PLE!$G$14,$M161,AX$13))))</f>
        <v>1000000000000</v>
      </c>
      <c r="AY161" s="182">
        <f ca="1">IF($D161&lt;&gt;"Serviço",0,IF(OR(AND(AUTOEVENTO="Manual",$M161=1),$M161&gt;(ROW(PLE.lastrow)-ROW(PLE.firstrow))),0,IF(OFFSET(PLE!$G$14,$M161,AY$13)="",10^12,OFFSET(PLE!$G$14,$M161,AY$13))))</f>
        <v>1000000000000</v>
      </c>
      <c r="AZ161" s="182">
        <f ca="1">IF($D161&lt;&gt;"Serviço",0,IF(OR(AND(AUTOEVENTO="Manual",$M161=1),$M161&gt;(ROW(PLE.lastrow)-ROW(PLE.firstrow))),0,IF(OFFSET(PLE!$G$14,$M161,AZ$13)="",10^12,OFFSET(PLE!$G$14,$M161,AZ$13))))</f>
        <v>1000000000000</v>
      </c>
      <c r="BA161" s="182">
        <f ca="1">IF($D161&lt;&gt;"Serviço",0,IF(OR(AND(AUTOEVENTO="Manual",$M161=1),$M161&gt;(ROW(PLE.lastrow)-ROW(PLE.firstrow))),0,IF(OFFSET(PLE!$G$14,$M161,BA$13)="",10^12,OFFSET(PLE!$G$14,$M161,BA$13))))</f>
        <v>1000000000000</v>
      </c>
      <c r="BB161" s="182">
        <f ca="1">IF($D161&lt;&gt;"Serviço",0,IF(OR(AND(AUTOEVENTO="Manual",$M161=1),$M161&gt;(ROW(PLE.lastrow)-ROW(PLE.firstrow))),0,IF(OFFSET(PLE!$G$14,$M161,BB$13)="",10^12,OFFSET(PLE!$G$14,$M161,BB$13))))</f>
        <v>1000000000000</v>
      </c>
      <c r="BC161" s="182">
        <f ca="1">IF($D161&lt;&gt;"Serviço",0,IF(OR(AND(AUTOEVENTO="Manual",$M161=1),$M161&gt;(ROW(PLE.lastrow)-ROW(PLE.firstrow))),0,IF(OFFSET(PLE!$G$14,$M161,BC$13)="",10^12,OFFSET(PLE!$G$14,$M161,BC$13))))</f>
        <v>1000000000000</v>
      </c>
      <c r="BD161" s="182">
        <f ca="1">IF($D161&lt;&gt;"Serviço",0,IF(OR(AND(AUTOEVENTO="Manual",$M161=1),$M161&gt;(ROW(PLE.lastrow)-ROW(PLE.firstrow))),0,IF(OFFSET(PLE!$G$14,$M161,BD$13)="",10^12,OFFSET(PLE!$G$14,$M161,BD$13))))</f>
        <v>1000000000000</v>
      </c>
      <c r="BE161" s="182">
        <f ca="1">IF($D161&lt;&gt;"Serviço",0,IF(OR(AND(AUTOEVENTO="Manual",$M161=1),$M161&gt;(ROW(PLE.lastrow)-ROW(PLE.firstrow))),0,IF(OFFSET(PLE!$G$14,$M161,BE$13)="",10^12,OFFSET(PLE!$G$14,$M161,BE$13))))</f>
        <v>1000000000000</v>
      </c>
      <c r="BF161" s="182">
        <f ca="1">IF($D161&lt;&gt;"Serviço",0,IF(OR(AND(AUTOEVENTO="Manual",$M161=1),$M161&gt;(ROW(PLE.lastrow)-ROW(PLE.firstrow))),0,IF(OFFSET(PLE!$G$14,$M161,BF$13)="",10^12,OFFSET(PLE!$G$14,$M161,BF$13))))</f>
        <v>1000000000000</v>
      </c>
      <c r="BG161" s="182">
        <f ca="1">IF($D161&lt;&gt;"Serviço",0,IF(OR(AND(AUTOEVENTO="Manual",$M161=1),$M161&gt;(ROW(PLE.lastrow)-ROW(PLE.firstrow))),0,IF(OFFSET(PLE!$G$14,$M161,BG$13)="",10^12,OFFSET(PLE!$G$14,$M161,BG$13))))</f>
        <v>1000000000000</v>
      </c>
    </row>
    <row r="162" spans="1:59" ht="12.75" x14ac:dyDescent="0.2">
      <c r="A162" s="7" t="str">
        <f t="shared" ca="1" si="13"/>
        <v>141</v>
      </c>
      <c r="B162" s="7" t="str">
        <f ca="1">OFFSET(ORÇAMENTO!C$15,ROW(B162)-ROW(B$15),0)</f>
        <v>S</v>
      </c>
      <c r="C162" s="7" t="str">
        <f ca="1">OFFSET(ORÇAMENTO!L$15,ROW(C162)-ROW(C$15),0)</f>
        <v>F</v>
      </c>
      <c r="D162" s="118" t="str">
        <f ca="1">OFFSET(ORÇAMENTO!N$15,ROW(D162)-ROW(D$15),0)</f>
        <v>Serviço</v>
      </c>
      <c r="E162" s="119" t="str">
        <f ca="1">OFFSET(ORÇAMENTO!O$15,ROW(E162)-ROW(E$15),0)</f>
        <v>10.2.6.</v>
      </c>
      <c r="F162" s="172" t="str">
        <f ca="1">OFFSET(ORÇAMENTO!R$15,ROW(F162)-ROW(F$15),0)</f>
        <v>REFLETOR 600W HOLOFOTE LED 5000LM IP66</v>
      </c>
      <c r="G162" s="173" t="str">
        <f ca="1">IF($D162&lt;&gt;"Serviço","",OFFSET(ORÇAMENTO!S$15,ROW(G162)-ROW(G$15),0))</f>
        <v>UN</v>
      </c>
      <c r="H162" s="124">
        <f ca="1">IF($D162&lt;&gt;"Serviço",0,IF(ACOMPANHAMENTO="BM",ROUND(OFFSET(ORÇAMENTO!AJ$15,ROW(H162)-ROW(H$15),0),15-13*ORÇAMENTO!$AF$7),SUMPRODUCT(($Q$12:$AA$12&lt;&gt;"")*ROUND($Q162:$AA162,15-13*ORÇAMENTO!$AF$7))))</f>
        <v>12</v>
      </c>
      <c r="I162" s="561"/>
      <c r="K162" s="174"/>
      <c r="L162" s="175" t="s">
        <v>255</v>
      </c>
      <c r="M162" s="176">
        <f ca="1">IF($D162&lt;&gt;"Serviço","",IF(AUTOEVENTO="manual",$A162,IF(ISERROR(MATCH($A162,$A$15:OFFSET($A162,-1,0),0)),MAX($M$15:OFFSET(M162,-1,0))+1,INDEX($M$15:OFFSET(M162,-1,0),MATCH($A162,$A$15:OFFSET($A162,-1,0),0)))))</f>
        <v>23</v>
      </c>
      <c r="N162" s="177" t="str">
        <f ca="1">IF($D162&lt;&gt;"Serviço","",IF(AUTOEVENTO="Manual",IF($A162=0,"&lt;-- defina o número do agrupador",OFFSET(EVENTOS!$D$14,$A162,0)),OFFSET($F$15,$A162,0)))</f>
        <v>ILUMINAÇÃO</v>
      </c>
      <c r="O162" s="178"/>
      <c r="Q162" s="178"/>
      <c r="R162" s="179"/>
      <c r="S162" s="179"/>
      <c r="T162" s="179"/>
      <c r="U162" s="179"/>
      <c r="V162" s="179"/>
      <c r="W162" s="179"/>
      <c r="X162" s="179"/>
      <c r="Y162" s="179"/>
      <c r="Z162" s="180"/>
      <c r="AB162" s="544">
        <f ca="1">IF(AND($D162="Serviço",AB$12&lt;&gt;0,$H162&gt;0,OR(AUTOEVENTO&lt;&gt;"manual",$M162&lt;&gt;1)),
IF(Import.TipoArredondamento&lt;&gt;"TransfereGOV",
ROUND(OFFSET($P162,0,AB$13),15-13*ORÇAMENTO!$AF$7)/$H162*OFFSET(ORÇAMENTO!$X$15,ROW(AB162)-ROW(AB$15),0),
ROUND(ROUND(OFFSET($P162,0,AB$13),15-13*ORÇAMENTO!$AF$7)*OFFSET(ORÇAMENTO!$W$15,ROW(AB162)-ROW(AB$15),0),15-13*ORÇAMENTO!$AF$11)),0)</f>
        <v>0</v>
      </c>
      <c r="AC162" s="545">
        <f ca="1">IF(AND($D162="Serviço",AC$12&lt;&gt;0,$H162&gt;0,OR(AUTOEVENTO&lt;&gt;"manual",$M162&lt;&gt;1)),
IF(Import.TipoArredondamento&lt;&gt;"TransfereGOV",
ROUND(OFFSET($P162,0,AC$13),15-13*ORÇAMENTO!$AF$7)/$H162*OFFSET(ORÇAMENTO!$X$15,ROW(AC162)-ROW(AC$15),0),
ROUND(ROUND(OFFSET($P162,0,AC$13),15-13*ORÇAMENTO!$AF$7)*OFFSET(ORÇAMENTO!$W$15,ROW(AC162)-ROW(AC$15),0),15-13*ORÇAMENTO!$AF$11)),0)</f>
        <v>0</v>
      </c>
      <c r="AD162" s="545">
        <f ca="1">IF(AND($D162="Serviço",AD$12&lt;&gt;0,$H162&gt;0,OR(AUTOEVENTO&lt;&gt;"manual",$M162&lt;&gt;1)),
IF(Import.TipoArredondamento&lt;&gt;"TransfereGOV",
ROUND(OFFSET($P162,0,AD$13),15-13*ORÇAMENTO!$AF$7)/$H162*OFFSET(ORÇAMENTO!$X$15,ROW(AD162)-ROW(AD$15),0),
ROUND(ROUND(OFFSET($P162,0,AD$13),15-13*ORÇAMENTO!$AF$7)*OFFSET(ORÇAMENTO!$W$15,ROW(AD162)-ROW(AD$15),0),15-13*ORÇAMENTO!$AF$11)),0)</f>
        <v>0</v>
      </c>
      <c r="AE162" s="545">
        <f ca="1">IF(AND($D162="Serviço",AE$12&lt;&gt;0,$H162&gt;0,OR(AUTOEVENTO&lt;&gt;"manual",$M162&lt;&gt;1)),
IF(Import.TipoArredondamento&lt;&gt;"TransfereGOV",
ROUND(OFFSET($P162,0,AE$13),15-13*ORÇAMENTO!$AF$7)/$H162*OFFSET(ORÇAMENTO!$X$15,ROW(AE162)-ROW(AE$15),0),
ROUND(ROUND(OFFSET($P162,0,AE$13),15-13*ORÇAMENTO!$AF$7)*OFFSET(ORÇAMENTO!$W$15,ROW(AE162)-ROW(AE$15),0),15-13*ORÇAMENTO!$AF$11)),0)</f>
        <v>0</v>
      </c>
      <c r="AF162" s="545">
        <f ca="1">IF(AND($D162="Serviço",AF$12&lt;&gt;0,$H162&gt;0,OR(AUTOEVENTO&lt;&gt;"manual",$M162&lt;&gt;1)),
IF(Import.TipoArredondamento&lt;&gt;"TransfereGOV",
ROUND(OFFSET($P162,0,AF$13),15-13*ORÇAMENTO!$AF$7)/$H162*OFFSET(ORÇAMENTO!$X$15,ROW(AF162)-ROW(AF$15),0),
ROUND(ROUND(OFFSET($P162,0,AF$13),15-13*ORÇAMENTO!$AF$7)*OFFSET(ORÇAMENTO!$W$15,ROW(AF162)-ROW(AF$15),0),15-13*ORÇAMENTO!$AF$11)),0)</f>
        <v>0</v>
      </c>
      <c r="AG162" s="545">
        <f ca="1">IF(AND($D162="Serviço",AG$12&lt;&gt;0,$H162&gt;0,OR(AUTOEVENTO&lt;&gt;"manual",$M162&lt;&gt;1)),
IF(Import.TipoArredondamento&lt;&gt;"TransfereGOV",
ROUND(OFFSET($P162,0,AG$13),15-13*ORÇAMENTO!$AF$7)/$H162*OFFSET(ORÇAMENTO!$X$15,ROW(AG162)-ROW(AG$15),0),
ROUND(ROUND(OFFSET($P162,0,AG$13),15-13*ORÇAMENTO!$AF$7)*OFFSET(ORÇAMENTO!$W$15,ROW(AG162)-ROW(AG$15),0),15-13*ORÇAMENTO!$AF$11)),0)</f>
        <v>0</v>
      </c>
      <c r="AH162" s="545">
        <f ca="1">IF(AND($D162="Serviço",AH$12&lt;&gt;0,$H162&gt;0,OR(AUTOEVENTO&lt;&gt;"manual",$M162&lt;&gt;1)),
IF(Import.TipoArredondamento&lt;&gt;"TransfereGOV",
ROUND(OFFSET($P162,0,AH$13),15-13*ORÇAMENTO!$AF$7)/$H162*OFFSET(ORÇAMENTO!$X$15,ROW(AH162)-ROW(AH$15),0),
ROUND(ROUND(OFFSET($P162,0,AH$13),15-13*ORÇAMENTO!$AF$7)*OFFSET(ORÇAMENTO!$W$15,ROW(AH162)-ROW(AH$15),0),15-13*ORÇAMENTO!$AF$11)),0)</f>
        <v>0</v>
      </c>
      <c r="AI162" s="545">
        <f ca="1">IF(AND($D162="Serviço",AI$12&lt;&gt;0,$H162&gt;0,OR(AUTOEVENTO&lt;&gt;"manual",$M162&lt;&gt;1)),
IF(Import.TipoArredondamento&lt;&gt;"TransfereGOV",
ROUND(OFFSET($P162,0,AI$13),15-13*ORÇAMENTO!$AF$7)/$H162*OFFSET(ORÇAMENTO!$X$15,ROW(AI162)-ROW(AI$15),0),
ROUND(ROUND(OFFSET($P162,0,AI$13),15-13*ORÇAMENTO!$AF$7)*OFFSET(ORÇAMENTO!$W$15,ROW(AI162)-ROW(AI$15),0),15-13*ORÇAMENTO!$AF$11)),0)</f>
        <v>0</v>
      </c>
      <c r="AJ162" s="545">
        <f ca="1">IF(AND($D162="Serviço",AJ$12&lt;&gt;0,$H162&gt;0,OR(AUTOEVENTO&lt;&gt;"manual",$M162&lt;&gt;1)),
IF(Import.TipoArredondamento&lt;&gt;"TransfereGOV",
ROUND(OFFSET($P162,0,AJ$13),15-13*ORÇAMENTO!$AF$7)/$H162*OFFSET(ORÇAMENTO!$X$15,ROW(AJ162)-ROW(AJ$15),0),
ROUND(ROUND(OFFSET($P162,0,AJ$13),15-13*ORÇAMENTO!$AF$7)*OFFSET(ORÇAMENTO!$W$15,ROW(AJ162)-ROW(AJ$15),0),15-13*ORÇAMENTO!$AF$11)),0)</f>
        <v>0</v>
      </c>
      <c r="AK162" s="546">
        <f ca="1">IF(AND($D162="Serviço",AK$12&lt;&gt;0,$H162&gt;0,OR(AUTOEVENTO&lt;&gt;"manual",$M162&lt;&gt;1)),
IF(Import.TipoArredondamento&lt;&gt;"TransfereGOV",
ROUND(OFFSET($P162,0,AK$13),15-13*ORÇAMENTO!$AF$7)/$H162*OFFSET(ORÇAMENTO!$X$15,ROW(AK162)-ROW(AK$15),0),
ROUND(ROUND(OFFSET($P162,0,AK$13),15-13*ORÇAMENTO!$AF$7)*OFFSET(ORÇAMENTO!$W$15,ROW(AK162)-ROW(AK$15),0),15-13*ORÇAMENTO!$AF$11)),0)</f>
        <v>0</v>
      </c>
      <c r="AM162" s="181">
        <f ca="1">IF($D162&lt;&gt;"Serviço",0,IF(AND(AUTOEVENTO="Manual",$M162=1),0,IF(OFFSET(CRONOPLE!$F$14,$M162,AM$13)="",10^12,OFFSET(CRONOPLE!$F$14,$M162,AM$13))))</f>
        <v>1000000000000</v>
      </c>
      <c r="AN162" s="181">
        <f ca="1">IF($D162&lt;&gt;"Serviço",0,IF(AND(AUTOEVENTO="Manual",$M162=1),0,IF(OFFSET(CRONOPLE!$F$14,$M162,AN$13)="",10^12,OFFSET(CRONOPLE!$F$14,$M162,AN$13))))</f>
        <v>1000000000000</v>
      </c>
      <c r="AO162" s="181">
        <f ca="1">IF($D162&lt;&gt;"Serviço",0,IF(AND(AUTOEVENTO="Manual",$M162=1),0,IF(OFFSET(CRONOPLE!$F$14,$M162,AO$13)="",10^12,OFFSET(CRONOPLE!$F$14,$M162,AO$13))))</f>
        <v>1000000000000</v>
      </c>
      <c r="AP162" s="181">
        <f ca="1">IF($D162&lt;&gt;"Serviço",0,IF(AND(AUTOEVENTO="Manual",$M162=1),0,IF(OFFSET(CRONOPLE!$F$14,$M162,AP$13)="",10^12,OFFSET(CRONOPLE!$F$14,$M162,AP$13))))</f>
        <v>1000000000000</v>
      </c>
      <c r="AQ162" s="181">
        <f ca="1">IF($D162&lt;&gt;"Serviço",0,IF(AND(AUTOEVENTO="Manual",$M162=1),0,IF(OFFSET(CRONOPLE!$F$14,$M162,AQ$13)="",10^12,OFFSET(CRONOPLE!$F$14,$M162,AQ$13))))</f>
        <v>1000000000000</v>
      </c>
      <c r="AR162" s="181">
        <f ca="1">IF($D162&lt;&gt;"Serviço",0,IF(AND(AUTOEVENTO="Manual",$M162=1),0,IF(OFFSET(CRONOPLE!$F$14,$M162,AR$13)="",10^12,OFFSET(CRONOPLE!$F$14,$M162,AR$13))))</f>
        <v>1000000000000</v>
      </c>
      <c r="AS162" s="181">
        <f ca="1">IF($D162&lt;&gt;"Serviço",0,IF(AND(AUTOEVENTO="Manual",$M162=1),0,IF(OFFSET(CRONOPLE!$F$14,$M162,AS$13)="",10^12,OFFSET(CRONOPLE!$F$14,$M162,AS$13))))</f>
        <v>1000000000000</v>
      </c>
      <c r="AT162" s="181">
        <f ca="1">IF($D162&lt;&gt;"Serviço",0,IF(AND(AUTOEVENTO="Manual",$M162=1),0,IF(OFFSET(CRONOPLE!$F$14,$M162,AT$13)="",10^12,OFFSET(CRONOPLE!$F$14,$M162,AT$13))))</f>
        <v>1000000000000</v>
      </c>
      <c r="AU162" s="181">
        <f ca="1">IF($D162&lt;&gt;"Serviço",0,IF(AND(AUTOEVENTO="Manual",$M162=1),0,IF(OFFSET(CRONOPLE!$F$14,$M162,AU$13)="",10^12,OFFSET(CRONOPLE!$F$14,$M162,AU$13))))</f>
        <v>1000000000000</v>
      </c>
      <c r="AV162" s="181">
        <f ca="1">IF($D162&lt;&gt;"Serviço",0,IF(AND(AUTOEVENTO="Manual",$M162=1),0,IF(OFFSET(CRONOPLE!$F$14,$M162,AV$13)="",10^12,OFFSET(CRONOPLE!$F$14,$M162,AV$13))))</f>
        <v>1000000000000</v>
      </c>
      <c r="AX162" s="182">
        <f ca="1">IF($D162&lt;&gt;"Serviço",0,IF(OR(AND(AUTOEVENTO="Manual",$M162=1),$M162&gt;(ROW(PLE.lastrow)-ROW(PLE.firstrow))),0,IF(OFFSET(PLE!$G$14,$M162,AX$13)="",10^12,OFFSET(PLE!$G$14,$M162,AX$13))))</f>
        <v>1000000000000</v>
      </c>
      <c r="AY162" s="182">
        <f ca="1">IF($D162&lt;&gt;"Serviço",0,IF(OR(AND(AUTOEVENTO="Manual",$M162=1),$M162&gt;(ROW(PLE.lastrow)-ROW(PLE.firstrow))),0,IF(OFFSET(PLE!$G$14,$M162,AY$13)="",10^12,OFFSET(PLE!$G$14,$M162,AY$13))))</f>
        <v>1000000000000</v>
      </c>
      <c r="AZ162" s="182">
        <f ca="1">IF($D162&lt;&gt;"Serviço",0,IF(OR(AND(AUTOEVENTO="Manual",$M162=1),$M162&gt;(ROW(PLE.lastrow)-ROW(PLE.firstrow))),0,IF(OFFSET(PLE!$G$14,$M162,AZ$13)="",10^12,OFFSET(PLE!$G$14,$M162,AZ$13))))</f>
        <v>1000000000000</v>
      </c>
      <c r="BA162" s="182">
        <f ca="1">IF($D162&lt;&gt;"Serviço",0,IF(OR(AND(AUTOEVENTO="Manual",$M162=1),$M162&gt;(ROW(PLE.lastrow)-ROW(PLE.firstrow))),0,IF(OFFSET(PLE!$G$14,$M162,BA$13)="",10^12,OFFSET(PLE!$G$14,$M162,BA$13))))</f>
        <v>1000000000000</v>
      </c>
      <c r="BB162" s="182">
        <f ca="1">IF($D162&lt;&gt;"Serviço",0,IF(OR(AND(AUTOEVENTO="Manual",$M162=1),$M162&gt;(ROW(PLE.lastrow)-ROW(PLE.firstrow))),0,IF(OFFSET(PLE!$G$14,$M162,BB$13)="",10^12,OFFSET(PLE!$G$14,$M162,BB$13))))</f>
        <v>1000000000000</v>
      </c>
      <c r="BC162" s="182">
        <f ca="1">IF($D162&lt;&gt;"Serviço",0,IF(OR(AND(AUTOEVENTO="Manual",$M162=1),$M162&gt;(ROW(PLE.lastrow)-ROW(PLE.firstrow))),0,IF(OFFSET(PLE!$G$14,$M162,BC$13)="",10^12,OFFSET(PLE!$G$14,$M162,BC$13))))</f>
        <v>1000000000000</v>
      </c>
      <c r="BD162" s="182">
        <f ca="1">IF($D162&lt;&gt;"Serviço",0,IF(OR(AND(AUTOEVENTO="Manual",$M162=1),$M162&gt;(ROW(PLE.lastrow)-ROW(PLE.firstrow))),0,IF(OFFSET(PLE!$G$14,$M162,BD$13)="",10^12,OFFSET(PLE!$G$14,$M162,BD$13))))</f>
        <v>1000000000000</v>
      </c>
      <c r="BE162" s="182">
        <f ca="1">IF($D162&lt;&gt;"Serviço",0,IF(OR(AND(AUTOEVENTO="Manual",$M162=1),$M162&gt;(ROW(PLE.lastrow)-ROW(PLE.firstrow))),0,IF(OFFSET(PLE!$G$14,$M162,BE$13)="",10^12,OFFSET(PLE!$G$14,$M162,BE$13))))</f>
        <v>1000000000000</v>
      </c>
      <c r="BF162" s="182">
        <f ca="1">IF($D162&lt;&gt;"Serviço",0,IF(OR(AND(AUTOEVENTO="Manual",$M162=1),$M162&gt;(ROW(PLE.lastrow)-ROW(PLE.firstrow))),0,IF(OFFSET(PLE!$G$14,$M162,BF$13)="",10^12,OFFSET(PLE!$G$14,$M162,BF$13))))</f>
        <v>1000000000000</v>
      </c>
      <c r="BG162" s="182">
        <f ca="1">IF($D162&lt;&gt;"Serviço",0,IF(OR(AND(AUTOEVENTO="Manual",$M162=1),$M162&gt;(ROW(PLE.lastrow)-ROW(PLE.firstrow))),0,IF(OFFSET(PLE!$G$14,$M162,BG$13)="",10^12,OFFSET(PLE!$G$14,$M162,BG$13))))</f>
        <v>1000000000000</v>
      </c>
    </row>
    <row r="163" spans="1:59" ht="12.75" x14ac:dyDescent="0.2">
      <c r="A163" s="7" t="str">
        <f t="shared" ca="1" si="13"/>
        <v>148.</v>
      </c>
      <c r="B163" s="7">
        <f ca="1">OFFSET(ORÇAMENTO!C$15,ROW(B163)-ROW(B$15),0)</f>
        <v>2</v>
      </c>
      <c r="C163" s="7" t="str">
        <f ca="1">OFFSET(ORÇAMENTO!L$15,ROW(C163)-ROW(C$15),0)</f>
        <v>F</v>
      </c>
      <c r="D163" s="118" t="str">
        <f ca="1">OFFSET(ORÇAMENTO!N$15,ROW(D163)-ROW(D$15),0)</f>
        <v>Nível 2</v>
      </c>
      <c r="E163" s="119" t="str">
        <f ca="1">OFFSET(ORÇAMENTO!O$15,ROW(E163)-ROW(E$15),0)</f>
        <v>10.3.</v>
      </c>
      <c r="F163" s="172" t="str">
        <f ca="1">OFFSET(ORÇAMENTO!R$15,ROW(F163)-ROW(F$15),0)</f>
        <v xml:space="preserve">LIMPEZ DA OBRA </v>
      </c>
      <c r="G163" s="173" t="str">
        <f ca="1">IF($D163&lt;&gt;"Serviço","",OFFSET(ORÇAMENTO!S$15,ROW(G163)-ROW(G$15),0))</f>
        <v/>
      </c>
      <c r="H163" s="124">
        <f ca="1">IF($D163&lt;&gt;"Serviço",0,IF(ACOMPANHAMENTO="BM",ROUND(OFFSET(ORÇAMENTO!AJ$15,ROW(H163)-ROW(H$15),0),15-13*ORÇAMENTO!$AF$7),SUMPRODUCT(($Q$12:$AA$12&lt;&gt;"")*ROUND($Q163:$AA163,15-13*ORÇAMENTO!$AF$7))))</f>
        <v>0</v>
      </c>
      <c r="I163" s="561"/>
      <c r="K163" s="174"/>
      <c r="L163" s="175" t="s">
        <v>255</v>
      </c>
      <c r="M163" s="176" t="str">
        <f ca="1">IF($D163&lt;&gt;"Serviço","",IF(AUTOEVENTO="manual",$A163,IF(ISERROR(MATCH($A163,$A$15:OFFSET($A163,-1,0),0)),MAX($M$15:OFFSET(M163,-1,0))+1,INDEX($M$15:OFFSET(M163,-1,0),MATCH($A163,$A$15:OFFSET($A163,-1,0),0)))))</f>
        <v/>
      </c>
      <c r="N163" s="177" t="str">
        <f ca="1">IF($D163&lt;&gt;"Serviço","",IF(AUTOEVENTO="Manual",IF($A163=0,"&lt;-- defina o número do agrupador",OFFSET(EVENTOS!$D$14,$A163,0)),OFFSET($F$15,$A163,0)))</f>
        <v/>
      </c>
      <c r="O163" s="178"/>
      <c r="Q163" s="178"/>
      <c r="R163" s="179"/>
      <c r="S163" s="179"/>
      <c r="T163" s="179"/>
      <c r="U163" s="179"/>
      <c r="V163" s="179"/>
      <c r="W163" s="179"/>
      <c r="X163" s="179"/>
      <c r="Y163" s="179"/>
      <c r="Z163" s="180"/>
      <c r="AB163" s="544">
        <f ca="1">IF(AND($D163="Serviço",AB$12&lt;&gt;0,$H163&gt;0,OR(AUTOEVENTO&lt;&gt;"manual",$M163&lt;&gt;1)),
IF(Import.TipoArredondamento&lt;&gt;"TransfereGOV",
ROUND(OFFSET($P163,0,AB$13),15-13*ORÇAMENTO!$AF$7)/$H163*OFFSET(ORÇAMENTO!$X$15,ROW(AB163)-ROW(AB$15),0),
ROUND(ROUND(OFFSET($P163,0,AB$13),15-13*ORÇAMENTO!$AF$7)*OFFSET(ORÇAMENTO!$W$15,ROW(AB163)-ROW(AB$15),0),15-13*ORÇAMENTO!$AF$11)),0)</f>
        <v>0</v>
      </c>
      <c r="AC163" s="545">
        <f ca="1">IF(AND($D163="Serviço",AC$12&lt;&gt;0,$H163&gt;0,OR(AUTOEVENTO&lt;&gt;"manual",$M163&lt;&gt;1)),
IF(Import.TipoArredondamento&lt;&gt;"TransfereGOV",
ROUND(OFFSET($P163,0,AC$13),15-13*ORÇAMENTO!$AF$7)/$H163*OFFSET(ORÇAMENTO!$X$15,ROW(AC163)-ROW(AC$15),0),
ROUND(ROUND(OFFSET($P163,0,AC$13),15-13*ORÇAMENTO!$AF$7)*OFFSET(ORÇAMENTO!$W$15,ROW(AC163)-ROW(AC$15),0),15-13*ORÇAMENTO!$AF$11)),0)</f>
        <v>0</v>
      </c>
      <c r="AD163" s="545">
        <f ca="1">IF(AND($D163="Serviço",AD$12&lt;&gt;0,$H163&gt;0,OR(AUTOEVENTO&lt;&gt;"manual",$M163&lt;&gt;1)),
IF(Import.TipoArredondamento&lt;&gt;"TransfereGOV",
ROUND(OFFSET($P163,0,AD$13),15-13*ORÇAMENTO!$AF$7)/$H163*OFFSET(ORÇAMENTO!$X$15,ROW(AD163)-ROW(AD$15),0),
ROUND(ROUND(OFFSET($P163,0,AD$13),15-13*ORÇAMENTO!$AF$7)*OFFSET(ORÇAMENTO!$W$15,ROW(AD163)-ROW(AD$15),0),15-13*ORÇAMENTO!$AF$11)),0)</f>
        <v>0</v>
      </c>
      <c r="AE163" s="545">
        <f ca="1">IF(AND($D163="Serviço",AE$12&lt;&gt;0,$H163&gt;0,OR(AUTOEVENTO&lt;&gt;"manual",$M163&lt;&gt;1)),
IF(Import.TipoArredondamento&lt;&gt;"TransfereGOV",
ROUND(OFFSET($P163,0,AE$13),15-13*ORÇAMENTO!$AF$7)/$H163*OFFSET(ORÇAMENTO!$X$15,ROW(AE163)-ROW(AE$15),0),
ROUND(ROUND(OFFSET($P163,0,AE$13),15-13*ORÇAMENTO!$AF$7)*OFFSET(ORÇAMENTO!$W$15,ROW(AE163)-ROW(AE$15),0),15-13*ORÇAMENTO!$AF$11)),0)</f>
        <v>0</v>
      </c>
      <c r="AF163" s="545">
        <f ca="1">IF(AND($D163="Serviço",AF$12&lt;&gt;0,$H163&gt;0,OR(AUTOEVENTO&lt;&gt;"manual",$M163&lt;&gt;1)),
IF(Import.TipoArredondamento&lt;&gt;"TransfereGOV",
ROUND(OFFSET($P163,0,AF$13),15-13*ORÇAMENTO!$AF$7)/$H163*OFFSET(ORÇAMENTO!$X$15,ROW(AF163)-ROW(AF$15),0),
ROUND(ROUND(OFFSET($P163,0,AF$13),15-13*ORÇAMENTO!$AF$7)*OFFSET(ORÇAMENTO!$W$15,ROW(AF163)-ROW(AF$15),0),15-13*ORÇAMENTO!$AF$11)),0)</f>
        <v>0</v>
      </c>
      <c r="AG163" s="545">
        <f ca="1">IF(AND($D163="Serviço",AG$12&lt;&gt;0,$H163&gt;0,OR(AUTOEVENTO&lt;&gt;"manual",$M163&lt;&gt;1)),
IF(Import.TipoArredondamento&lt;&gt;"TransfereGOV",
ROUND(OFFSET($P163,0,AG$13),15-13*ORÇAMENTO!$AF$7)/$H163*OFFSET(ORÇAMENTO!$X$15,ROW(AG163)-ROW(AG$15),0),
ROUND(ROUND(OFFSET($P163,0,AG$13),15-13*ORÇAMENTO!$AF$7)*OFFSET(ORÇAMENTO!$W$15,ROW(AG163)-ROW(AG$15),0),15-13*ORÇAMENTO!$AF$11)),0)</f>
        <v>0</v>
      </c>
      <c r="AH163" s="545">
        <f ca="1">IF(AND($D163="Serviço",AH$12&lt;&gt;0,$H163&gt;0,OR(AUTOEVENTO&lt;&gt;"manual",$M163&lt;&gt;1)),
IF(Import.TipoArredondamento&lt;&gt;"TransfereGOV",
ROUND(OFFSET($P163,0,AH$13),15-13*ORÇAMENTO!$AF$7)/$H163*OFFSET(ORÇAMENTO!$X$15,ROW(AH163)-ROW(AH$15),0),
ROUND(ROUND(OFFSET($P163,0,AH$13),15-13*ORÇAMENTO!$AF$7)*OFFSET(ORÇAMENTO!$W$15,ROW(AH163)-ROW(AH$15),0),15-13*ORÇAMENTO!$AF$11)),0)</f>
        <v>0</v>
      </c>
      <c r="AI163" s="545">
        <f ca="1">IF(AND($D163="Serviço",AI$12&lt;&gt;0,$H163&gt;0,OR(AUTOEVENTO&lt;&gt;"manual",$M163&lt;&gt;1)),
IF(Import.TipoArredondamento&lt;&gt;"TransfereGOV",
ROUND(OFFSET($P163,0,AI$13),15-13*ORÇAMENTO!$AF$7)/$H163*OFFSET(ORÇAMENTO!$X$15,ROW(AI163)-ROW(AI$15),0),
ROUND(ROUND(OFFSET($P163,0,AI$13),15-13*ORÇAMENTO!$AF$7)*OFFSET(ORÇAMENTO!$W$15,ROW(AI163)-ROW(AI$15),0),15-13*ORÇAMENTO!$AF$11)),0)</f>
        <v>0</v>
      </c>
      <c r="AJ163" s="545">
        <f ca="1">IF(AND($D163="Serviço",AJ$12&lt;&gt;0,$H163&gt;0,OR(AUTOEVENTO&lt;&gt;"manual",$M163&lt;&gt;1)),
IF(Import.TipoArredondamento&lt;&gt;"TransfereGOV",
ROUND(OFFSET($P163,0,AJ$13),15-13*ORÇAMENTO!$AF$7)/$H163*OFFSET(ORÇAMENTO!$X$15,ROW(AJ163)-ROW(AJ$15),0),
ROUND(ROUND(OFFSET($P163,0,AJ$13),15-13*ORÇAMENTO!$AF$7)*OFFSET(ORÇAMENTO!$W$15,ROW(AJ163)-ROW(AJ$15),0),15-13*ORÇAMENTO!$AF$11)),0)</f>
        <v>0</v>
      </c>
      <c r="AK163" s="546">
        <f ca="1">IF(AND($D163="Serviço",AK$12&lt;&gt;0,$H163&gt;0,OR(AUTOEVENTO&lt;&gt;"manual",$M163&lt;&gt;1)),
IF(Import.TipoArredondamento&lt;&gt;"TransfereGOV",
ROUND(OFFSET($P163,0,AK$13),15-13*ORÇAMENTO!$AF$7)/$H163*OFFSET(ORÇAMENTO!$X$15,ROW(AK163)-ROW(AK$15),0),
ROUND(ROUND(OFFSET($P163,0,AK$13),15-13*ORÇAMENTO!$AF$7)*OFFSET(ORÇAMENTO!$W$15,ROW(AK163)-ROW(AK$15),0),15-13*ORÇAMENTO!$AF$11)),0)</f>
        <v>0</v>
      </c>
      <c r="AM163" s="181">
        <f ca="1">IF($D163&lt;&gt;"Serviço",0,IF(AND(AUTOEVENTO="Manual",$M163=1),0,IF(OFFSET(CRONOPLE!$F$14,$M163,AM$13)="",10^12,OFFSET(CRONOPLE!$F$14,$M163,AM$13))))</f>
        <v>0</v>
      </c>
      <c r="AN163" s="181">
        <f ca="1">IF($D163&lt;&gt;"Serviço",0,IF(AND(AUTOEVENTO="Manual",$M163=1),0,IF(OFFSET(CRONOPLE!$F$14,$M163,AN$13)="",10^12,OFFSET(CRONOPLE!$F$14,$M163,AN$13))))</f>
        <v>0</v>
      </c>
      <c r="AO163" s="181">
        <f ca="1">IF($D163&lt;&gt;"Serviço",0,IF(AND(AUTOEVENTO="Manual",$M163=1),0,IF(OFFSET(CRONOPLE!$F$14,$M163,AO$13)="",10^12,OFFSET(CRONOPLE!$F$14,$M163,AO$13))))</f>
        <v>0</v>
      </c>
      <c r="AP163" s="181">
        <f ca="1">IF($D163&lt;&gt;"Serviço",0,IF(AND(AUTOEVENTO="Manual",$M163=1),0,IF(OFFSET(CRONOPLE!$F$14,$M163,AP$13)="",10^12,OFFSET(CRONOPLE!$F$14,$M163,AP$13))))</f>
        <v>0</v>
      </c>
      <c r="AQ163" s="181">
        <f ca="1">IF($D163&lt;&gt;"Serviço",0,IF(AND(AUTOEVENTO="Manual",$M163=1),0,IF(OFFSET(CRONOPLE!$F$14,$M163,AQ$13)="",10^12,OFFSET(CRONOPLE!$F$14,$M163,AQ$13))))</f>
        <v>0</v>
      </c>
      <c r="AR163" s="181">
        <f ca="1">IF($D163&lt;&gt;"Serviço",0,IF(AND(AUTOEVENTO="Manual",$M163=1),0,IF(OFFSET(CRONOPLE!$F$14,$M163,AR$13)="",10^12,OFFSET(CRONOPLE!$F$14,$M163,AR$13))))</f>
        <v>0</v>
      </c>
      <c r="AS163" s="181">
        <f ca="1">IF($D163&lt;&gt;"Serviço",0,IF(AND(AUTOEVENTO="Manual",$M163=1),0,IF(OFFSET(CRONOPLE!$F$14,$M163,AS$13)="",10^12,OFFSET(CRONOPLE!$F$14,$M163,AS$13))))</f>
        <v>0</v>
      </c>
      <c r="AT163" s="181">
        <f ca="1">IF($D163&lt;&gt;"Serviço",0,IF(AND(AUTOEVENTO="Manual",$M163=1),0,IF(OFFSET(CRONOPLE!$F$14,$M163,AT$13)="",10^12,OFFSET(CRONOPLE!$F$14,$M163,AT$13))))</f>
        <v>0</v>
      </c>
      <c r="AU163" s="181">
        <f ca="1">IF($D163&lt;&gt;"Serviço",0,IF(AND(AUTOEVENTO="Manual",$M163=1),0,IF(OFFSET(CRONOPLE!$F$14,$M163,AU$13)="",10^12,OFFSET(CRONOPLE!$F$14,$M163,AU$13))))</f>
        <v>0</v>
      </c>
      <c r="AV163" s="181">
        <f ca="1">IF($D163&lt;&gt;"Serviço",0,IF(AND(AUTOEVENTO="Manual",$M163=1),0,IF(OFFSET(CRONOPLE!$F$14,$M163,AV$13)="",10^12,OFFSET(CRONOPLE!$F$14,$M163,AV$13))))</f>
        <v>0</v>
      </c>
      <c r="AX163" s="182">
        <f ca="1">IF($D163&lt;&gt;"Serviço",0,IF(OR(AND(AUTOEVENTO="Manual",$M163=1),$M163&gt;(ROW(PLE.lastrow)-ROW(PLE.firstrow))),0,IF(OFFSET(PLE!$G$14,$M163,AX$13)="",10^12,OFFSET(PLE!$G$14,$M163,AX$13))))</f>
        <v>0</v>
      </c>
      <c r="AY163" s="182">
        <f ca="1">IF($D163&lt;&gt;"Serviço",0,IF(OR(AND(AUTOEVENTO="Manual",$M163=1),$M163&gt;(ROW(PLE.lastrow)-ROW(PLE.firstrow))),0,IF(OFFSET(PLE!$G$14,$M163,AY$13)="",10^12,OFFSET(PLE!$G$14,$M163,AY$13))))</f>
        <v>0</v>
      </c>
      <c r="AZ163" s="182">
        <f ca="1">IF($D163&lt;&gt;"Serviço",0,IF(OR(AND(AUTOEVENTO="Manual",$M163=1),$M163&gt;(ROW(PLE.lastrow)-ROW(PLE.firstrow))),0,IF(OFFSET(PLE!$G$14,$M163,AZ$13)="",10^12,OFFSET(PLE!$G$14,$M163,AZ$13))))</f>
        <v>0</v>
      </c>
      <c r="BA163" s="182">
        <f ca="1">IF($D163&lt;&gt;"Serviço",0,IF(OR(AND(AUTOEVENTO="Manual",$M163=1),$M163&gt;(ROW(PLE.lastrow)-ROW(PLE.firstrow))),0,IF(OFFSET(PLE!$G$14,$M163,BA$13)="",10^12,OFFSET(PLE!$G$14,$M163,BA$13))))</f>
        <v>0</v>
      </c>
      <c r="BB163" s="182">
        <f ca="1">IF($D163&lt;&gt;"Serviço",0,IF(OR(AND(AUTOEVENTO="Manual",$M163=1),$M163&gt;(ROW(PLE.lastrow)-ROW(PLE.firstrow))),0,IF(OFFSET(PLE!$G$14,$M163,BB$13)="",10^12,OFFSET(PLE!$G$14,$M163,BB$13))))</f>
        <v>0</v>
      </c>
      <c r="BC163" s="182">
        <f ca="1">IF($D163&lt;&gt;"Serviço",0,IF(OR(AND(AUTOEVENTO="Manual",$M163=1),$M163&gt;(ROW(PLE.lastrow)-ROW(PLE.firstrow))),0,IF(OFFSET(PLE!$G$14,$M163,BC$13)="",10^12,OFFSET(PLE!$G$14,$M163,BC$13))))</f>
        <v>0</v>
      </c>
      <c r="BD163" s="182">
        <f ca="1">IF($D163&lt;&gt;"Serviço",0,IF(OR(AND(AUTOEVENTO="Manual",$M163=1),$M163&gt;(ROW(PLE.lastrow)-ROW(PLE.firstrow))),0,IF(OFFSET(PLE!$G$14,$M163,BD$13)="",10^12,OFFSET(PLE!$G$14,$M163,BD$13))))</f>
        <v>0</v>
      </c>
      <c r="BE163" s="182">
        <f ca="1">IF($D163&lt;&gt;"Serviço",0,IF(OR(AND(AUTOEVENTO="Manual",$M163=1),$M163&gt;(ROW(PLE.lastrow)-ROW(PLE.firstrow))),0,IF(OFFSET(PLE!$G$14,$M163,BE$13)="",10^12,OFFSET(PLE!$G$14,$M163,BE$13))))</f>
        <v>0</v>
      </c>
      <c r="BF163" s="182">
        <f ca="1">IF($D163&lt;&gt;"Serviço",0,IF(OR(AND(AUTOEVENTO="Manual",$M163=1),$M163&gt;(ROW(PLE.lastrow)-ROW(PLE.firstrow))),0,IF(OFFSET(PLE!$G$14,$M163,BF$13)="",10^12,OFFSET(PLE!$G$14,$M163,BF$13))))</f>
        <v>0</v>
      </c>
      <c r="BG163" s="182">
        <f ca="1">IF($D163&lt;&gt;"Serviço",0,IF(OR(AND(AUTOEVENTO="Manual",$M163=1),$M163&gt;(ROW(PLE.lastrow)-ROW(PLE.firstrow))),0,IF(OFFSET(PLE!$G$14,$M163,BG$13)="",10^12,OFFSET(PLE!$G$14,$M163,BG$13))))</f>
        <v>0</v>
      </c>
    </row>
    <row r="164" spans="1:59" ht="25.5" x14ac:dyDescent="0.2">
      <c r="A164" s="7" t="str">
        <f t="shared" ca="1" si="13"/>
        <v>148</v>
      </c>
      <c r="B164" s="7" t="str">
        <f ca="1">OFFSET(ORÇAMENTO!C$15,ROW(B164)-ROW(B$15),0)</f>
        <v>S</v>
      </c>
      <c r="C164" s="7" t="str">
        <f ca="1">OFFSET(ORÇAMENTO!L$15,ROW(C164)-ROW(C$15),0)</f>
        <v>F</v>
      </c>
      <c r="D164" s="118" t="str">
        <f ca="1">OFFSET(ORÇAMENTO!N$15,ROW(D164)-ROW(D$15),0)</f>
        <v>Serviço</v>
      </c>
      <c r="E164" s="119" t="str">
        <f ca="1">OFFSET(ORÇAMENTO!O$15,ROW(E164)-ROW(E$15),0)</f>
        <v>10.3.1.</v>
      </c>
      <c r="F164" s="172" t="str">
        <f ca="1">OFFSET(ORÇAMENTO!R$15,ROW(F164)-ROW(F$15),0)</f>
        <v>LIMPEZA DE PISO CERÂMICO OU PORCELANATO COM VASSOURA A SECO. AF_10/2025</v>
      </c>
      <c r="G164" s="173" t="str">
        <f ca="1">IF($D164&lt;&gt;"Serviço","",OFFSET(ORÇAMENTO!S$15,ROW(G164)-ROW(G$15),0))</f>
        <v>M2</v>
      </c>
      <c r="H164" s="124">
        <f ca="1">IF($D164&lt;&gt;"Serviço",0,IF(ACOMPANHAMENTO="BM",ROUND(OFFSET(ORÇAMENTO!AJ$15,ROW(H164)-ROW(H$15),0),15-13*ORÇAMENTO!$AF$7),SUMPRODUCT(($Q$12:$AA$12&lt;&gt;"")*ROUND($Q164:$AA164,15-13*ORÇAMENTO!$AF$7))))</f>
        <v>195.33</v>
      </c>
      <c r="I164" s="561"/>
      <c r="K164" s="174"/>
      <c r="L164" s="175" t="s">
        <v>255</v>
      </c>
      <c r="M164" s="176">
        <f ca="1">IF($D164&lt;&gt;"Serviço","",IF(AUTOEVENTO="manual",$A164,IF(ISERROR(MATCH($A164,$A$15:OFFSET($A164,-1,0),0)),MAX($M$15:OFFSET(M164,-1,0))+1,INDEX($M$15:OFFSET(M164,-1,0),MATCH($A164,$A$15:OFFSET($A164,-1,0),0)))))</f>
        <v>24</v>
      </c>
      <c r="N164" s="177" t="str">
        <f ca="1">IF($D164&lt;&gt;"Serviço","",IF(AUTOEVENTO="Manual",IF($A164=0,"&lt;-- defina o número do agrupador",OFFSET(EVENTOS!$D$14,$A164,0)),OFFSET($F$15,$A164,0)))</f>
        <v xml:space="preserve">LIMPEZ DA OBRA </v>
      </c>
      <c r="O164" s="178"/>
      <c r="Q164" s="178"/>
      <c r="R164" s="179"/>
      <c r="S164" s="179"/>
      <c r="T164" s="179"/>
      <c r="U164" s="179"/>
      <c r="V164" s="179"/>
      <c r="W164" s="179"/>
      <c r="X164" s="179"/>
      <c r="Y164" s="179"/>
      <c r="Z164" s="180"/>
      <c r="AB164" s="544">
        <f ca="1">IF(AND($D164="Serviço",AB$12&lt;&gt;0,$H164&gt;0,OR(AUTOEVENTO&lt;&gt;"manual",$M164&lt;&gt;1)),
IF(Import.TipoArredondamento&lt;&gt;"TransfereGOV",
ROUND(OFFSET($P164,0,AB$13),15-13*ORÇAMENTO!$AF$7)/$H164*OFFSET(ORÇAMENTO!$X$15,ROW(AB164)-ROW(AB$15),0),
ROUND(ROUND(OFFSET($P164,0,AB$13),15-13*ORÇAMENTO!$AF$7)*OFFSET(ORÇAMENTO!$W$15,ROW(AB164)-ROW(AB$15),0),15-13*ORÇAMENTO!$AF$11)),0)</f>
        <v>0</v>
      </c>
      <c r="AC164" s="545">
        <f ca="1">IF(AND($D164="Serviço",AC$12&lt;&gt;0,$H164&gt;0,OR(AUTOEVENTO&lt;&gt;"manual",$M164&lt;&gt;1)),
IF(Import.TipoArredondamento&lt;&gt;"TransfereGOV",
ROUND(OFFSET($P164,0,AC$13),15-13*ORÇAMENTO!$AF$7)/$H164*OFFSET(ORÇAMENTO!$X$15,ROW(AC164)-ROW(AC$15),0),
ROUND(ROUND(OFFSET($P164,0,AC$13),15-13*ORÇAMENTO!$AF$7)*OFFSET(ORÇAMENTO!$W$15,ROW(AC164)-ROW(AC$15),0),15-13*ORÇAMENTO!$AF$11)),0)</f>
        <v>0</v>
      </c>
      <c r="AD164" s="545">
        <f ca="1">IF(AND($D164="Serviço",AD$12&lt;&gt;0,$H164&gt;0,OR(AUTOEVENTO&lt;&gt;"manual",$M164&lt;&gt;1)),
IF(Import.TipoArredondamento&lt;&gt;"TransfereGOV",
ROUND(OFFSET($P164,0,AD$13),15-13*ORÇAMENTO!$AF$7)/$H164*OFFSET(ORÇAMENTO!$X$15,ROW(AD164)-ROW(AD$15),0),
ROUND(ROUND(OFFSET($P164,0,AD$13),15-13*ORÇAMENTO!$AF$7)*OFFSET(ORÇAMENTO!$W$15,ROW(AD164)-ROW(AD$15),0),15-13*ORÇAMENTO!$AF$11)),0)</f>
        <v>0</v>
      </c>
      <c r="AE164" s="545">
        <f ca="1">IF(AND($D164="Serviço",AE$12&lt;&gt;0,$H164&gt;0,OR(AUTOEVENTO&lt;&gt;"manual",$M164&lt;&gt;1)),
IF(Import.TipoArredondamento&lt;&gt;"TransfereGOV",
ROUND(OFFSET($P164,0,AE$13),15-13*ORÇAMENTO!$AF$7)/$H164*OFFSET(ORÇAMENTO!$X$15,ROW(AE164)-ROW(AE$15),0),
ROUND(ROUND(OFFSET($P164,0,AE$13),15-13*ORÇAMENTO!$AF$7)*OFFSET(ORÇAMENTO!$W$15,ROW(AE164)-ROW(AE$15),0),15-13*ORÇAMENTO!$AF$11)),0)</f>
        <v>0</v>
      </c>
      <c r="AF164" s="545">
        <f ca="1">IF(AND($D164="Serviço",AF$12&lt;&gt;0,$H164&gt;0,OR(AUTOEVENTO&lt;&gt;"manual",$M164&lt;&gt;1)),
IF(Import.TipoArredondamento&lt;&gt;"TransfereGOV",
ROUND(OFFSET($P164,0,AF$13),15-13*ORÇAMENTO!$AF$7)/$H164*OFFSET(ORÇAMENTO!$X$15,ROW(AF164)-ROW(AF$15),0),
ROUND(ROUND(OFFSET($P164,0,AF$13),15-13*ORÇAMENTO!$AF$7)*OFFSET(ORÇAMENTO!$W$15,ROW(AF164)-ROW(AF$15),0),15-13*ORÇAMENTO!$AF$11)),0)</f>
        <v>0</v>
      </c>
      <c r="AG164" s="545">
        <f ca="1">IF(AND($D164="Serviço",AG$12&lt;&gt;0,$H164&gt;0,OR(AUTOEVENTO&lt;&gt;"manual",$M164&lt;&gt;1)),
IF(Import.TipoArredondamento&lt;&gt;"TransfereGOV",
ROUND(OFFSET($P164,0,AG$13),15-13*ORÇAMENTO!$AF$7)/$H164*OFFSET(ORÇAMENTO!$X$15,ROW(AG164)-ROW(AG$15),0),
ROUND(ROUND(OFFSET($P164,0,AG$13),15-13*ORÇAMENTO!$AF$7)*OFFSET(ORÇAMENTO!$W$15,ROW(AG164)-ROW(AG$15),0),15-13*ORÇAMENTO!$AF$11)),0)</f>
        <v>0</v>
      </c>
      <c r="AH164" s="545">
        <f ca="1">IF(AND($D164="Serviço",AH$12&lt;&gt;0,$H164&gt;0,OR(AUTOEVENTO&lt;&gt;"manual",$M164&lt;&gt;1)),
IF(Import.TipoArredondamento&lt;&gt;"TransfereGOV",
ROUND(OFFSET($P164,0,AH$13),15-13*ORÇAMENTO!$AF$7)/$H164*OFFSET(ORÇAMENTO!$X$15,ROW(AH164)-ROW(AH$15),0),
ROUND(ROUND(OFFSET($P164,0,AH$13),15-13*ORÇAMENTO!$AF$7)*OFFSET(ORÇAMENTO!$W$15,ROW(AH164)-ROW(AH$15),0),15-13*ORÇAMENTO!$AF$11)),0)</f>
        <v>0</v>
      </c>
      <c r="AI164" s="545">
        <f ca="1">IF(AND($D164="Serviço",AI$12&lt;&gt;0,$H164&gt;0,OR(AUTOEVENTO&lt;&gt;"manual",$M164&lt;&gt;1)),
IF(Import.TipoArredondamento&lt;&gt;"TransfereGOV",
ROUND(OFFSET($P164,0,AI$13),15-13*ORÇAMENTO!$AF$7)/$H164*OFFSET(ORÇAMENTO!$X$15,ROW(AI164)-ROW(AI$15),0),
ROUND(ROUND(OFFSET($P164,0,AI$13),15-13*ORÇAMENTO!$AF$7)*OFFSET(ORÇAMENTO!$W$15,ROW(AI164)-ROW(AI$15),0),15-13*ORÇAMENTO!$AF$11)),0)</f>
        <v>0</v>
      </c>
      <c r="AJ164" s="545">
        <f ca="1">IF(AND($D164="Serviço",AJ$12&lt;&gt;0,$H164&gt;0,OR(AUTOEVENTO&lt;&gt;"manual",$M164&lt;&gt;1)),
IF(Import.TipoArredondamento&lt;&gt;"TransfereGOV",
ROUND(OFFSET($P164,0,AJ$13),15-13*ORÇAMENTO!$AF$7)/$H164*OFFSET(ORÇAMENTO!$X$15,ROW(AJ164)-ROW(AJ$15),0),
ROUND(ROUND(OFFSET($P164,0,AJ$13),15-13*ORÇAMENTO!$AF$7)*OFFSET(ORÇAMENTO!$W$15,ROW(AJ164)-ROW(AJ$15),0),15-13*ORÇAMENTO!$AF$11)),0)</f>
        <v>0</v>
      </c>
      <c r="AK164" s="546">
        <f ca="1">IF(AND($D164="Serviço",AK$12&lt;&gt;0,$H164&gt;0,OR(AUTOEVENTO&lt;&gt;"manual",$M164&lt;&gt;1)),
IF(Import.TipoArredondamento&lt;&gt;"TransfereGOV",
ROUND(OFFSET($P164,0,AK$13),15-13*ORÇAMENTO!$AF$7)/$H164*OFFSET(ORÇAMENTO!$X$15,ROW(AK164)-ROW(AK$15),0),
ROUND(ROUND(OFFSET($P164,0,AK$13),15-13*ORÇAMENTO!$AF$7)*OFFSET(ORÇAMENTO!$W$15,ROW(AK164)-ROW(AK$15),0),15-13*ORÇAMENTO!$AF$11)),0)</f>
        <v>0</v>
      </c>
      <c r="AM164" s="181">
        <f ca="1">IF($D164&lt;&gt;"Serviço",0,IF(AND(AUTOEVENTO="Manual",$M164=1),0,IF(OFFSET(CRONOPLE!$F$14,$M164,AM$13)="",10^12,OFFSET(CRONOPLE!$F$14,$M164,AM$13))))</f>
        <v>1000000000000</v>
      </c>
      <c r="AN164" s="181">
        <f ca="1">IF($D164&lt;&gt;"Serviço",0,IF(AND(AUTOEVENTO="Manual",$M164=1),0,IF(OFFSET(CRONOPLE!$F$14,$M164,AN$13)="",10^12,OFFSET(CRONOPLE!$F$14,$M164,AN$13))))</f>
        <v>1000000000000</v>
      </c>
      <c r="AO164" s="181">
        <f ca="1">IF($D164&lt;&gt;"Serviço",0,IF(AND(AUTOEVENTO="Manual",$M164=1),0,IF(OFFSET(CRONOPLE!$F$14,$M164,AO$13)="",10^12,OFFSET(CRONOPLE!$F$14,$M164,AO$13))))</f>
        <v>1000000000000</v>
      </c>
      <c r="AP164" s="181">
        <f ca="1">IF($D164&lt;&gt;"Serviço",0,IF(AND(AUTOEVENTO="Manual",$M164=1),0,IF(OFFSET(CRONOPLE!$F$14,$M164,AP$13)="",10^12,OFFSET(CRONOPLE!$F$14,$M164,AP$13))))</f>
        <v>1000000000000</v>
      </c>
      <c r="AQ164" s="181">
        <f ca="1">IF($D164&lt;&gt;"Serviço",0,IF(AND(AUTOEVENTO="Manual",$M164=1),0,IF(OFFSET(CRONOPLE!$F$14,$M164,AQ$13)="",10^12,OFFSET(CRONOPLE!$F$14,$M164,AQ$13))))</f>
        <v>1000000000000</v>
      </c>
      <c r="AR164" s="181">
        <f ca="1">IF($D164&lt;&gt;"Serviço",0,IF(AND(AUTOEVENTO="Manual",$M164=1),0,IF(OFFSET(CRONOPLE!$F$14,$M164,AR$13)="",10^12,OFFSET(CRONOPLE!$F$14,$M164,AR$13))))</f>
        <v>1000000000000</v>
      </c>
      <c r="AS164" s="181">
        <f ca="1">IF($D164&lt;&gt;"Serviço",0,IF(AND(AUTOEVENTO="Manual",$M164=1),0,IF(OFFSET(CRONOPLE!$F$14,$M164,AS$13)="",10^12,OFFSET(CRONOPLE!$F$14,$M164,AS$13))))</f>
        <v>1000000000000</v>
      </c>
      <c r="AT164" s="181">
        <f ca="1">IF($D164&lt;&gt;"Serviço",0,IF(AND(AUTOEVENTO="Manual",$M164=1),0,IF(OFFSET(CRONOPLE!$F$14,$M164,AT$13)="",10^12,OFFSET(CRONOPLE!$F$14,$M164,AT$13))))</f>
        <v>1000000000000</v>
      </c>
      <c r="AU164" s="181">
        <f ca="1">IF($D164&lt;&gt;"Serviço",0,IF(AND(AUTOEVENTO="Manual",$M164=1),0,IF(OFFSET(CRONOPLE!$F$14,$M164,AU$13)="",10^12,OFFSET(CRONOPLE!$F$14,$M164,AU$13))))</f>
        <v>1000000000000</v>
      </c>
      <c r="AV164" s="181">
        <f ca="1">IF($D164&lt;&gt;"Serviço",0,IF(AND(AUTOEVENTO="Manual",$M164=1),0,IF(OFFSET(CRONOPLE!$F$14,$M164,AV$13)="",10^12,OFFSET(CRONOPLE!$F$14,$M164,AV$13))))</f>
        <v>1000000000000</v>
      </c>
      <c r="AX164" s="182">
        <f ca="1">IF($D164&lt;&gt;"Serviço",0,IF(OR(AND(AUTOEVENTO="Manual",$M164=1),$M164&gt;(ROW(PLE.lastrow)-ROW(PLE.firstrow))),0,IF(OFFSET(PLE!$G$14,$M164,AX$13)="",10^12,OFFSET(PLE!$G$14,$M164,AX$13))))</f>
        <v>0</v>
      </c>
      <c r="AY164" s="182">
        <f ca="1">IF($D164&lt;&gt;"Serviço",0,IF(OR(AND(AUTOEVENTO="Manual",$M164=1),$M164&gt;(ROW(PLE.lastrow)-ROW(PLE.firstrow))),0,IF(OFFSET(PLE!$G$14,$M164,AY$13)="",10^12,OFFSET(PLE!$G$14,$M164,AY$13))))</f>
        <v>0</v>
      </c>
      <c r="AZ164" s="182">
        <f ca="1">IF($D164&lt;&gt;"Serviço",0,IF(OR(AND(AUTOEVENTO="Manual",$M164=1),$M164&gt;(ROW(PLE.lastrow)-ROW(PLE.firstrow))),0,IF(OFFSET(PLE!$G$14,$M164,AZ$13)="",10^12,OFFSET(PLE!$G$14,$M164,AZ$13))))</f>
        <v>0</v>
      </c>
      <c r="BA164" s="182">
        <f ca="1">IF($D164&lt;&gt;"Serviço",0,IF(OR(AND(AUTOEVENTO="Manual",$M164=1),$M164&gt;(ROW(PLE.lastrow)-ROW(PLE.firstrow))),0,IF(OFFSET(PLE!$G$14,$M164,BA$13)="",10^12,OFFSET(PLE!$G$14,$M164,BA$13))))</f>
        <v>0</v>
      </c>
      <c r="BB164" s="182">
        <f ca="1">IF($D164&lt;&gt;"Serviço",0,IF(OR(AND(AUTOEVENTO="Manual",$M164=1),$M164&gt;(ROW(PLE.lastrow)-ROW(PLE.firstrow))),0,IF(OFFSET(PLE!$G$14,$M164,BB$13)="",10^12,OFFSET(PLE!$G$14,$M164,BB$13))))</f>
        <v>0</v>
      </c>
      <c r="BC164" s="182">
        <f ca="1">IF($D164&lt;&gt;"Serviço",0,IF(OR(AND(AUTOEVENTO="Manual",$M164=1),$M164&gt;(ROW(PLE.lastrow)-ROW(PLE.firstrow))),0,IF(OFFSET(PLE!$G$14,$M164,BC$13)="",10^12,OFFSET(PLE!$G$14,$M164,BC$13))))</f>
        <v>0</v>
      </c>
      <c r="BD164" s="182">
        <f ca="1">IF($D164&lt;&gt;"Serviço",0,IF(OR(AND(AUTOEVENTO="Manual",$M164=1),$M164&gt;(ROW(PLE.lastrow)-ROW(PLE.firstrow))),0,IF(OFFSET(PLE!$G$14,$M164,BD$13)="",10^12,OFFSET(PLE!$G$14,$M164,BD$13))))</f>
        <v>0</v>
      </c>
      <c r="BE164" s="182">
        <f ca="1">IF($D164&lt;&gt;"Serviço",0,IF(OR(AND(AUTOEVENTO="Manual",$M164=1),$M164&gt;(ROW(PLE.lastrow)-ROW(PLE.firstrow))),0,IF(OFFSET(PLE!$G$14,$M164,BE$13)="",10^12,OFFSET(PLE!$G$14,$M164,BE$13))))</f>
        <v>0</v>
      </c>
      <c r="BF164" s="182">
        <f ca="1">IF($D164&lt;&gt;"Serviço",0,IF(OR(AND(AUTOEVENTO="Manual",$M164=1),$M164&gt;(ROW(PLE.lastrow)-ROW(PLE.firstrow))),0,IF(OFFSET(PLE!$G$14,$M164,BF$13)="",10^12,OFFSET(PLE!$G$14,$M164,BF$13))))</f>
        <v>0</v>
      </c>
      <c r="BG164" s="182">
        <f ca="1">IF($D164&lt;&gt;"Serviço",0,IF(OR(AND(AUTOEVENTO="Manual",$M164=1),$M164&gt;(ROW(PLE.lastrow)-ROW(PLE.firstrow))),0,IF(OFFSET(PLE!$G$14,$M164,BG$13)="",10^12,OFFSET(PLE!$G$14,$M164,BG$13))))</f>
        <v>0</v>
      </c>
    </row>
    <row r="165" spans="1:59" ht="5.0999999999999996" customHeight="1" x14ac:dyDescent="0.2">
      <c r="B165" s="7">
        <f ca="1">OFFSET(ORÇAMENTO!C$15,ROW(B165)-ROW(B$15),0)</f>
        <v>-1</v>
      </c>
      <c r="C165" s="7" t="str">
        <f ca="1">OFFSET(ORÇAMENTO!L$15,ROW(C165)-ROW(C$15),0)</f>
        <v>F</v>
      </c>
      <c r="D165" s="483" t="s">
        <v>194</v>
      </c>
      <c r="E165" s="484"/>
      <c r="F165" s="485"/>
      <c r="G165" s="485"/>
      <c r="H165" s="485"/>
      <c r="I165" s="486"/>
      <c r="K165" s="488"/>
      <c r="L165" s="175" t="s">
        <v>255</v>
      </c>
      <c r="M165" s="489"/>
      <c r="N165" s="487"/>
      <c r="O165" s="482"/>
      <c r="Q165" s="484"/>
      <c r="R165" s="485"/>
      <c r="S165" s="485"/>
      <c r="T165" s="485"/>
      <c r="U165" s="485"/>
      <c r="V165" s="485"/>
      <c r="W165" s="485"/>
      <c r="X165" s="485"/>
      <c r="Y165" s="485"/>
      <c r="Z165" s="486"/>
      <c r="AB165" s="138"/>
      <c r="AC165" s="192"/>
      <c r="AD165" s="192"/>
      <c r="AE165" s="192"/>
      <c r="AF165" s="192"/>
      <c r="AG165" s="192"/>
      <c r="AH165" s="192"/>
      <c r="AI165" s="192"/>
      <c r="AJ165" s="192"/>
      <c r="AK165" s="139"/>
      <c r="AM165" s="138"/>
      <c r="AN165" s="192"/>
      <c r="AO165" s="192"/>
      <c r="AP165" s="192"/>
      <c r="AQ165" s="192"/>
      <c r="AR165" s="192"/>
      <c r="AS165" s="192"/>
      <c r="AT165" s="192"/>
      <c r="AU165" s="192"/>
      <c r="AV165" s="139"/>
      <c r="AX165" s="138"/>
      <c r="AY165" s="192"/>
      <c r="AZ165" s="192"/>
      <c r="BA165" s="192"/>
      <c r="BB165" s="192"/>
      <c r="BC165" s="192"/>
      <c r="BD165" s="192"/>
      <c r="BE165" s="192"/>
      <c r="BF165" s="192"/>
      <c r="BG165" s="139"/>
    </row>
    <row r="166" spans="1:59" ht="12.75" customHeight="1" x14ac:dyDescent="0.2"/>
    <row r="167" spans="1:59" ht="12.75" customHeight="1" x14ac:dyDescent="0.2"/>
    <row r="168" spans="1:59" ht="12.75" customHeight="1" x14ac:dyDescent="0.2"/>
    <row r="169" spans="1:59" ht="15" customHeight="1" x14ac:dyDescent="0.2">
      <c r="F169" s="193" t="str">
        <f>Import.Município</f>
        <v xml:space="preserve">ÁGUAS DE CHAPECÓ </v>
      </c>
      <c r="I169" s="553"/>
      <c r="J169" s="553"/>
      <c r="K169" s="553"/>
      <c r="L169" s="553"/>
      <c r="M169" s="554"/>
      <c r="N169" s="479"/>
      <c r="T169" s="145"/>
      <c r="U169" s="145"/>
      <c r="V169" s="194"/>
      <c r="W169" s="194"/>
      <c r="X169" s="194"/>
      <c r="Y169" s="194"/>
    </row>
    <row r="170" spans="1:59" ht="12.75" customHeight="1" x14ac:dyDescent="0.2">
      <c r="F170" s="10" t="s">
        <v>188</v>
      </c>
      <c r="I170" s="195" t="s">
        <v>190</v>
      </c>
      <c r="J170" s="195"/>
      <c r="K170" s="195"/>
      <c r="L170" s="195"/>
      <c r="T170" s="195" t="s">
        <v>190</v>
      </c>
      <c r="U170" s="195"/>
    </row>
    <row r="171" spans="1:59" ht="12.75" customHeight="1" x14ac:dyDescent="0.2">
      <c r="I171" s="447" t="str">
        <f t="array" aca="1" ref="I171:I173" ca="1">OFFSET(Import.RespOrçamento,0,-1) &amp; " " &amp; Import.RespOrçamento</f>
        <v>Nome: RENATA LORENZET</v>
      </c>
      <c r="K171" s="80"/>
      <c r="L171" s="80"/>
      <c r="T171" s="447" t="str">
        <f t="array" aca="1" ref="T171:T173" ca="1">OFFSET(Import.RespOrçamento,0,-1) &amp; " " &amp; Import.RespOrçamento</f>
        <v>Nome: RENATA LORENZET</v>
      </c>
      <c r="U171" s="79"/>
    </row>
    <row r="172" spans="1:59" ht="12.75" customHeight="1" x14ac:dyDescent="0.2">
      <c r="F172" s="552">
        <f ca="1">DADOS!$F$25</f>
        <v>46310</v>
      </c>
      <c r="I172" s="447" t="str">
        <f ca="1"/>
        <v>CREA/CAU: 207.601-3</v>
      </c>
      <c r="K172" s="80"/>
      <c r="L172" s="80"/>
      <c r="T172" s="447" t="str">
        <f ca="1"/>
        <v>CREA/CAU: 207.601-3</v>
      </c>
      <c r="U172" s="79"/>
    </row>
    <row r="173" spans="1:59" ht="12.75" customHeight="1" x14ac:dyDescent="0.2">
      <c r="F173" s="146" t="s">
        <v>189</v>
      </c>
      <c r="I173" s="447" t="str">
        <f ca="1"/>
        <v>ART/RRT: 10734903-0</v>
      </c>
      <c r="K173" s="80"/>
      <c r="L173" s="80"/>
      <c r="T173" s="447" t="str">
        <f ca="1"/>
        <v>ART/RRT: 10734903-0</v>
      </c>
      <c r="U173" s="79"/>
    </row>
    <row r="174" spans="1:59" ht="12.75" customHeight="1" x14ac:dyDescent="0.2">
      <c r="C174"/>
      <c r="M174"/>
    </row>
    <row r="175" spans="1:59" ht="12.75" customHeight="1" x14ac:dyDescent="0.2">
      <c r="C175"/>
      <c r="M175"/>
    </row>
    <row r="176" spans="1:59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04" spans="3:13" ht="12.75" customHeight="1" x14ac:dyDescent="0.2">
      <c r="C4304"/>
      <c r="M4304"/>
    </row>
    <row r="4305" spans="3:13" ht="12.75" customHeight="1" x14ac:dyDescent="0.2">
      <c r="C4305"/>
      <c r="M4305"/>
    </row>
    <row r="4306" spans="3:13" ht="12.75" customHeight="1" x14ac:dyDescent="0.2">
      <c r="C4306"/>
      <c r="M4306"/>
    </row>
    <row r="4307" spans="3:13" ht="12.75" customHeight="1" x14ac:dyDescent="0.2">
      <c r="C4307"/>
      <c r="M4307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4312" spans="3:13" ht="12.75" customHeight="1" x14ac:dyDescent="0.2">
      <c r="C4312"/>
      <c r="M4312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4317" spans="3:13" ht="12.75" customHeight="1" x14ac:dyDescent="0.2">
      <c r="C4317"/>
      <c r="M4317"/>
    </row>
    <row r="4318" spans="3:13" ht="12.75" customHeight="1" x14ac:dyDescent="0.2">
      <c r="C4318"/>
      <c r="M4318"/>
    </row>
    <row r="4319" spans="3:13" ht="12.75" customHeight="1" x14ac:dyDescent="0.2">
      <c r="C4319"/>
      <c r="M4319"/>
    </row>
    <row r="4320" spans="3:13" ht="12.75" customHeight="1" x14ac:dyDescent="0.2">
      <c r="C4320"/>
      <c r="M4320"/>
    </row>
    <row r="4321" spans="3:13" ht="12.75" customHeight="1" x14ac:dyDescent="0.2">
      <c r="C4321"/>
      <c r="M4321"/>
    </row>
    <row r="4322" spans="3:13" ht="12.75" customHeight="1" x14ac:dyDescent="0.2">
      <c r="C4322"/>
      <c r="M4322"/>
    </row>
    <row r="4323" spans="3:13" ht="12.75" customHeight="1" x14ac:dyDescent="0.2">
      <c r="C4323"/>
      <c r="M4323"/>
    </row>
    <row r="4324" spans="3:13" ht="12.75" customHeight="1" x14ac:dyDescent="0.2">
      <c r="C4324"/>
      <c r="M4324"/>
    </row>
    <row r="4325" spans="3:13" ht="12.75" customHeight="1" x14ac:dyDescent="0.2">
      <c r="C4325"/>
      <c r="M4325"/>
    </row>
    <row r="4326" spans="3:13" ht="12.75" customHeight="1" x14ac:dyDescent="0.2">
      <c r="C4326"/>
      <c r="M4326"/>
    </row>
    <row r="4327" spans="3:13" ht="12.75" customHeight="1" x14ac:dyDescent="0.2">
      <c r="C4327"/>
      <c r="M4327"/>
    </row>
    <row r="4328" spans="3:13" ht="12.75" customHeight="1" x14ac:dyDescent="0.2">
      <c r="C4328"/>
      <c r="M4328"/>
    </row>
    <row r="4329" spans="3:13" ht="12.75" customHeight="1" x14ac:dyDescent="0.2">
      <c r="C4329"/>
      <c r="M4329"/>
    </row>
    <row r="4330" spans="3:13" ht="12.75" customHeight="1" x14ac:dyDescent="0.2">
      <c r="C4330"/>
      <c r="M4330"/>
    </row>
    <row r="4331" spans="3:13" ht="12.75" customHeight="1" x14ac:dyDescent="0.2">
      <c r="C4331"/>
      <c r="M4331"/>
    </row>
    <row r="4332" spans="3:13" ht="12.75" customHeight="1" x14ac:dyDescent="0.2">
      <c r="C4332"/>
      <c r="M4332"/>
    </row>
    <row r="4333" spans="3:13" ht="12.75" customHeight="1" x14ac:dyDescent="0.2">
      <c r="C4333"/>
      <c r="M4333"/>
    </row>
    <row r="4334" spans="3:13" ht="12.75" customHeight="1" x14ac:dyDescent="0.2">
      <c r="C4334"/>
      <c r="M4334"/>
    </row>
    <row r="4335" spans="3:13" ht="12.75" customHeight="1" x14ac:dyDescent="0.2">
      <c r="C4335"/>
      <c r="M4335"/>
    </row>
    <row r="4336" spans="3:13" ht="12.75" customHeight="1" x14ac:dyDescent="0.2">
      <c r="C4336"/>
      <c r="M4336"/>
    </row>
    <row r="4337" spans="3:13" ht="12.75" customHeight="1" x14ac:dyDescent="0.2">
      <c r="C4337"/>
      <c r="M4337"/>
    </row>
    <row r="4338" spans="3:13" ht="12.75" customHeight="1" x14ac:dyDescent="0.2">
      <c r="C4338"/>
      <c r="M4338"/>
    </row>
    <row r="4339" spans="3:13" ht="12.75" customHeight="1" x14ac:dyDescent="0.2">
      <c r="C4339"/>
      <c r="M4339"/>
    </row>
    <row r="4340" spans="3:13" ht="12.75" customHeight="1" x14ac:dyDescent="0.2">
      <c r="C4340"/>
      <c r="M4340"/>
    </row>
    <row r="4341" spans="3:13" ht="12.75" customHeight="1" x14ac:dyDescent="0.2">
      <c r="C4341"/>
      <c r="M4341"/>
    </row>
    <row r="4342" spans="3:13" ht="12.75" customHeight="1" x14ac:dyDescent="0.2">
      <c r="C4342"/>
      <c r="M4342"/>
    </row>
    <row r="4343" spans="3:13" ht="12.75" customHeight="1" x14ac:dyDescent="0.2">
      <c r="C4343"/>
      <c r="M4343"/>
    </row>
    <row r="4344" spans="3:13" ht="12.75" customHeight="1" x14ac:dyDescent="0.2">
      <c r="C4344"/>
      <c r="M4344"/>
    </row>
    <row r="4345" spans="3:13" ht="12.75" customHeight="1" x14ac:dyDescent="0.2">
      <c r="C4345"/>
      <c r="M4345"/>
    </row>
    <row r="4346" spans="3:13" ht="12.75" customHeight="1" x14ac:dyDescent="0.2">
      <c r="C4346"/>
      <c r="M4346"/>
    </row>
    <row r="4347" spans="3:13" ht="12.75" customHeight="1" x14ac:dyDescent="0.2">
      <c r="C4347"/>
      <c r="M4347"/>
    </row>
    <row r="4348" spans="3:13" ht="12.75" customHeight="1" x14ac:dyDescent="0.2">
      <c r="C4348"/>
      <c r="M4348"/>
    </row>
    <row r="4349" spans="3:13" ht="12.75" customHeight="1" x14ac:dyDescent="0.2">
      <c r="C4349"/>
      <c r="M4349"/>
    </row>
    <row r="4350" spans="3:13" ht="12.75" customHeight="1" x14ac:dyDescent="0.2">
      <c r="C4350"/>
      <c r="M4350"/>
    </row>
    <row r="4351" spans="3:13" ht="12.75" customHeight="1" x14ac:dyDescent="0.2">
      <c r="C4351"/>
      <c r="M4351"/>
    </row>
    <row r="4352" spans="3:13" ht="12.75" customHeight="1" x14ac:dyDescent="0.2">
      <c r="C4352"/>
      <c r="M4352"/>
    </row>
    <row r="4353" spans="3:13" ht="12.75" customHeight="1" x14ac:dyDescent="0.2">
      <c r="C4353"/>
      <c r="M4353"/>
    </row>
    <row r="4354" spans="3:13" ht="12.75" customHeight="1" x14ac:dyDescent="0.2">
      <c r="C4354"/>
      <c r="M4354"/>
    </row>
    <row r="4355" spans="3:13" ht="12.75" customHeight="1" x14ac:dyDescent="0.2">
      <c r="C4355"/>
      <c r="M4355"/>
    </row>
    <row r="4356" spans="3:13" ht="12.75" customHeight="1" x14ac:dyDescent="0.2">
      <c r="C4356"/>
      <c r="M4356"/>
    </row>
    <row r="4357" spans="3:13" ht="12.75" customHeight="1" x14ac:dyDescent="0.2">
      <c r="C4357"/>
      <c r="M4357"/>
    </row>
    <row r="4358" spans="3:13" ht="12.75" customHeight="1" x14ac:dyDescent="0.2">
      <c r="C4358"/>
      <c r="M4358"/>
    </row>
    <row r="4359" spans="3:13" ht="12.75" customHeight="1" x14ac:dyDescent="0.2">
      <c r="C4359"/>
      <c r="M4359"/>
    </row>
    <row r="4360" spans="3:13" ht="12.75" customHeight="1" x14ac:dyDescent="0.2">
      <c r="C4360"/>
      <c r="M4360"/>
    </row>
    <row r="4361" spans="3:13" ht="12.75" customHeight="1" x14ac:dyDescent="0.2">
      <c r="C4361"/>
      <c r="M4361"/>
    </row>
    <row r="4362" spans="3:13" ht="12.75" customHeight="1" x14ac:dyDescent="0.2">
      <c r="C4362"/>
      <c r="M4362"/>
    </row>
    <row r="4363" spans="3:13" ht="12.75" customHeight="1" x14ac:dyDescent="0.2">
      <c r="C4363"/>
      <c r="M4363"/>
    </row>
    <row r="4364" spans="3:13" ht="12.75" customHeight="1" x14ac:dyDescent="0.2">
      <c r="C4364"/>
      <c r="M4364"/>
    </row>
    <row r="4365" spans="3:13" ht="12.75" customHeight="1" x14ac:dyDescent="0.2">
      <c r="C4365"/>
      <c r="M4365"/>
    </row>
    <row r="4366" spans="3:13" ht="12.75" customHeight="1" x14ac:dyDescent="0.2">
      <c r="C4366"/>
      <c r="M4366"/>
    </row>
    <row r="4367" spans="3:13" ht="12.75" customHeight="1" x14ac:dyDescent="0.2">
      <c r="C4367"/>
      <c r="M4367"/>
    </row>
    <row r="4368" spans="3:13" ht="12.75" customHeight="1" x14ac:dyDescent="0.2">
      <c r="C4368"/>
      <c r="M4368"/>
    </row>
    <row r="4369" spans="3:13" ht="12.75" customHeight="1" x14ac:dyDescent="0.2">
      <c r="C4369"/>
      <c r="M4369"/>
    </row>
    <row r="4370" spans="3:13" ht="12.75" customHeight="1" x14ac:dyDescent="0.2">
      <c r="C4370"/>
      <c r="M4370"/>
    </row>
    <row r="4371" spans="3:13" ht="12.75" customHeight="1" x14ac:dyDescent="0.2">
      <c r="C4371"/>
      <c r="M4371"/>
    </row>
    <row r="4372" spans="3:13" ht="12.75" customHeight="1" x14ac:dyDescent="0.2">
      <c r="C4372"/>
      <c r="M4372"/>
    </row>
    <row r="4373" spans="3:13" ht="12.75" customHeight="1" x14ac:dyDescent="0.2">
      <c r="C4373"/>
      <c r="M4373"/>
    </row>
    <row r="4374" spans="3:13" ht="12.75" customHeight="1" x14ac:dyDescent="0.2">
      <c r="C4374"/>
      <c r="M4374"/>
    </row>
    <row r="4375" spans="3:13" ht="12.75" customHeight="1" x14ac:dyDescent="0.2">
      <c r="C4375"/>
      <c r="M4375"/>
    </row>
    <row r="4376" spans="3:13" ht="12.75" customHeight="1" x14ac:dyDescent="0.2">
      <c r="C4376"/>
      <c r="M4376"/>
    </row>
    <row r="4377" spans="3:13" ht="12.75" customHeight="1" x14ac:dyDescent="0.2">
      <c r="C4377"/>
      <c r="M4377"/>
    </row>
    <row r="4378" spans="3:13" ht="12.75" customHeight="1" x14ac:dyDescent="0.2">
      <c r="C4378"/>
      <c r="M4378"/>
    </row>
    <row r="4379" spans="3:13" ht="12.75" customHeight="1" x14ac:dyDescent="0.2">
      <c r="C4379"/>
      <c r="M4379"/>
    </row>
    <row r="4380" spans="3:13" ht="12.75" customHeight="1" x14ac:dyDescent="0.2">
      <c r="C4380"/>
      <c r="M4380"/>
    </row>
    <row r="4381" spans="3:13" ht="12.75" customHeight="1" x14ac:dyDescent="0.2">
      <c r="C4381"/>
      <c r="M4381"/>
    </row>
    <row r="4382" spans="3:13" ht="12.75" customHeight="1" x14ac:dyDescent="0.2">
      <c r="C4382"/>
      <c r="M4382"/>
    </row>
    <row r="4383" spans="3:13" ht="12.75" customHeight="1" x14ac:dyDescent="0.2">
      <c r="C4383"/>
      <c r="M4383"/>
    </row>
    <row r="4384" spans="3:13" ht="12.75" customHeight="1" x14ac:dyDescent="0.2">
      <c r="C4384"/>
      <c r="M4384"/>
    </row>
    <row r="4385" spans="3:13" ht="12.75" customHeight="1" x14ac:dyDescent="0.2">
      <c r="C4385"/>
      <c r="M4385"/>
    </row>
    <row r="4386" spans="3:13" ht="12.75" customHeight="1" x14ac:dyDescent="0.2">
      <c r="C4386"/>
      <c r="M4386"/>
    </row>
    <row r="4387" spans="3:13" ht="12.75" customHeight="1" x14ac:dyDescent="0.2">
      <c r="C4387"/>
      <c r="M4387"/>
    </row>
    <row r="4388" spans="3:13" ht="12.75" customHeight="1" x14ac:dyDescent="0.2">
      <c r="C4388"/>
      <c r="M4388"/>
    </row>
    <row r="4389" spans="3:13" ht="12.75" customHeight="1" x14ac:dyDescent="0.2">
      <c r="C4389"/>
      <c r="M4389"/>
    </row>
    <row r="4390" spans="3:13" ht="12.75" customHeight="1" x14ac:dyDescent="0.2">
      <c r="C4390"/>
      <c r="M4390"/>
    </row>
    <row r="4391" spans="3:13" ht="12.75" customHeight="1" x14ac:dyDescent="0.2">
      <c r="C4391"/>
      <c r="M4391"/>
    </row>
    <row r="4392" spans="3:13" ht="12.75" customHeight="1" x14ac:dyDescent="0.2">
      <c r="C4392"/>
      <c r="M4392"/>
    </row>
    <row r="4393" spans="3:13" ht="12.75" customHeight="1" x14ac:dyDescent="0.2">
      <c r="C4393"/>
      <c r="M4393"/>
    </row>
    <row r="4394" spans="3:13" ht="12.75" customHeight="1" x14ac:dyDescent="0.2">
      <c r="C4394"/>
      <c r="M4394"/>
    </row>
    <row r="4395" spans="3:13" ht="12.75" customHeight="1" x14ac:dyDescent="0.2">
      <c r="C4395"/>
      <c r="M4395"/>
    </row>
    <row r="4396" spans="3:13" ht="12.75" customHeight="1" x14ac:dyDescent="0.2">
      <c r="C4396"/>
      <c r="M4396"/>
    </row>
    <row r="4397" spans="3:13" ht="12.75" customHeight="1" x14ac:dyDescent="0.2">
      <c r="C4397"/>
      <c r="M4397"/>
    </row>
    <row r="4398" spans="3:13" ht="12.75" customHeight="1" x14ac:dyDescent="0.2">
      <c r="C4398"/>
      <c r="M4398"/>
    </row>
    <row r="4399" spans="3:13" ht="12.75" customHeight="1" x14ac:dyDescent="0.2">
      <c r="C4399"/>
      <c r="M4399"/>
    </row>
    <row r="4400" spans="3:13" ht="12.75" customHeight="1" x14ac:dyDescent="0.2">
      <c r="C4400"/>
      <c r="M4400"/>
    </row>
    <row r="4401" spans="3:13" ht="12.75" customHeight="1" x14ac:dyDescent="0.2">
      <c r="C4401"/>
      <c r="M4401"/>
    </row>
    <row r="4402" spans="3:13" ht="12.75" customHeight="1" x14ac:dyDescent="0.2">
      <c r="C4402"/>
      <c r="M4402"/>
    </row>
    <row r="4403" spans="3:13" ht="12.75" customHeight="1" x14ac:dyDescent="0.2">
      <c r="C4403"/>
      <c r="M4403"/>
    </row>
    <row r="4404" spans="3:13" ht="12.75" customHeight="1" x14ac:dyDescent="0.2">
      <c r="C4404"/>
      <c r="M4404"/>
    </row>
    <row r="4405" spans="3:13" ht="12.75" customHeight="1" x14ac:dyDescent="0.2">
      <c r="C4405"/>
      <c r="M4405"/>
    </row>
    <row r="4406" spans="3:13" ht="12.75" customHeight="1" x14ac:dyDescent="0.2">
      <c r="C4406"/>
      <c r="M4406"/>
    </row>
    <row r="4416" spans="3:13" ht="12.75" customHeight="1" x14ac:dyDescent="0.2">
      <c r="C4416"/>
      <c r="M4416"/>
    </row>
    <row r="4417" spans="3:13" ht="12.75" customHeight="1" x14ac:dyDescent="0.2">
      <c r="C4417"/>
      <c r="M4417"/>
    </row>
    <row r="4418" spans="3:13" ht="12.75" customHeight="1" x14ac:dyDescent="0.2">
      <c r="C4418"/>
      <c r="M4418"/>
    </row>
    <row r="4419" spans="3:13" ht="12.75" customHeight="1" x14ac:dyDescent="0.2">
      <c r="C4419"/>
      <c r="M4419"/>
    </row>
    <row r="4448" ht="0" hidden="1" customHeight="1" x14ac:dyDescent="0.2"/>
    <row r="4464" ht="0" hidden="1" customHeight="1" x14ac:dyDescent="0.2"/>
    <row r="61077" spans="3:13" ht="12.75" customHeight="1" x14ac:dyDescent="0.2">
      <c r="C61077"/>
      <c r="M61077"/>
    </row>
    <row r="61093" spans="3:13" ht="12.75" customHeight="1" x14ac:dyDescent="0.2">
      <c r="C61093"/>
      <c r="M61093"/>
    </row>
    <row r="61104" spans="3:13" ht="0" hidden="1" customHeight="1" x14ac:dyDescent="0.2"/>
    <row r="61109" spans="3:13" ht="12.75" customHeight="1" x14ac:dyDescent="0.2">
      <c r="C61109"/>
      <c r="M61109"/>
    </row>
    <row r="61125" spans="3:13" ht="12.75" customHeight="1" x14ac:dyDescent="0.2">
      <c r="C61125"/>
      <c r="M61125"/>
    </row>
    <row r="61138" spans="3:13" ht="12.75" customHeight="1" x14ac:dyDescent="0.2">
      <c r="C61138"/>
      <c r="M61138"/>
    </row>
    <row r="61139" spans="3:13" ht="12.75" customHeight="1" x14ac:dyDescent="0.2">
      <c r="C61139"/>
      <c r="M61139"/>
    </row>
    <row r="61141" spans="3:13" ht="12.75" customHeight="1" x14ac:dyDescent="0.2">
      <c r="C61141"/>
      <c r="M61141"/>
    </row>
    <row r="61152" spans="3:13" ht="12.75" customHeight="1" x14ac:dyDescent="0.2">
      <c r="C61152"/>
      <c r="M61152"/>
    </row>
    <row r="61153" spans="3:13" ht="12.75" customHeight="1" x14ac:dyDescent="0.2">
      <c r="C61153"/>
      <c r="M61153"/>
    </row>
    <row r="61154" spans="3:13" ht="12.75" customHeight="1" x14ac:dyDescent="0.2">
      <c r="C61154"/>
      <c r="M61154"/>
    </row>
    <row r="61155" spans="3:13" ht="12.75" customHeight="1" x14ac:dyDescent="0.2">
      <c r="C61155"/>
      <c r="M61155"/>
    </row>
    <row r="61157" spans="3:13" ht="12.75" customHeight="1" x14ac:dyDescent="0.2">
      <c r="C61157"/>
      <c r="M61157"/>
    </row>
    <row r="61168" spans="3:13" ht="12.75" customHeight="1" x14ac:dyDescent="0.2">
      <c r="C61168"/>
      <c r="M61168"/>
    </row>
    <row r="61169" spans="3:13" ht="12.75" customHeight="1" x14ac:dyDescent="0.2">
      <c r="C61169"/>
      <c r="M61169"/>
    </row>
    <row r="61170" spans="3:13" ht="12.75" customHeight="1" x14ac:dyDescent="0.2">
      <c r="C61170"/>
      <c r="M61170"/>
    </row>
    <row r="61171" spans="3:13" ht="12.75" customHeight="1" x14ac:dyDescent="0.2">
      <c r="C61171"/>
      <c r="M61171"/>
    </row>
    <row r="61173" spans="3:13" ht="12.75" customHeight="1" x14ac:dyDescent="0.2">
      <c r="C61173"/>
      <c r="M61173"/>
    </row>
    <row r="61184" spans="3:13" ht="12.75" customHeight="1" x14ac:dyDescent="0.2">
      <c r="C61184"/>
      <c r="M61184"/>
    </row>
    <row r="61185" spans="3:13" ht="12.75" customHeight="1" x14ac:dyDescent="0.2">
      <c r="C61185"/>
      <c r="M61185"/>
    </row>
    <row r="61186" spans="3:13" ht="12.75" customHeight="1" x14ac:dyDescent="0.2">
      <c r="C61186"/>
      <c r="M61186"/>
    </row>
    <row r="61187" spans="3:13" ht="12.75" customHeight="1" x14ac:dyDescent="0.2">
      <c r="C61187"/>
      <c r="M61187"/>
    </row>
    <row r="61189" spans="3:13" ht="12.75" customHeight="1" x14ac:dyDescent="0.2">
      <c r="C61189"/>
      <c r="M61189"/>
    </row>
    <row r="61200" spans="3:13" ht="12.75" customHeight="1" x14ac:dyDescent="0.2">
      <c r="C61200"/>
      <c r="M61200"/>
    </row>
    <row r="61201" spans="3:13" ht="12.75" customHeight="1" x14ac:dyDescent="0.2">
      <c r="C61201"/>
      <c r="M61201"/>
    </row>
    <row r="61202" spans="3:13" ht="12.75" customHeight="1" x14ac:dyDescent="0.2">
      <c r="C61202"/>
      <c r="M61202"/>
    </row>
    <row r="61203" spans="3:13" ht="12.75" customHeight="1" x14ac:dyDescent="0.2">
      <c r="C61203"/>
      <c r="M61203"/>
    </row>
    <row r="61205" spans="3:13" ht="12.75" customHeight="1" x14ac:dyDescent="0.2">
      <c r="C61205"/>
      <c r="M61205"/>
    </row>
    <row r="61216" spans="3:13" ht="12.75" customHeight="1" x14ac:dyDescent="0.2">
      <c r="C61216"/>
      <c r="M61216"/>
    </row>
    <row r="61217" spans="3:13" ht="12.75" customHeight="1" x14ac:dyDescent="0.2">
      <c r="C61217"/>
      <c r="M61217"/>
    </row>
    <row r="61218" spans="3:13" ht="12.75" customHeight="1" x14ac:dyDescent="0.2">
      <c r="C61218"/>
      <c r="M61218"/>
    </row>
    <row r="61219" spans="3:13" ht="12.75" customHeight="1" x14ac:dyDescent="0.2">
      <c r="C61219"/>
      <c r="M61219"/>
    </row>
    <row r="61221" spans="3:13" ht="12.75" customHeight="1" x14ac:dyDescent="0.2">
      <c r="C61221"/>
      <c r="M61221"/>
    </row>
    <row r="61232" spans="3:13" ht="12.75" customHeight="1" x14ac:dyDescent="0.2">
      <c r="C61232"/>
      <c r="M61232"/>
    </row>
    <row r="61233" spans="3:13" ht="12.75" customHeight="1" x14ac:dyDescent="0.2">
      <c r="C61233"/>
      <c r="M61233"/>
    </row>
    <row r="61234" spans="3:13" ht="12.75" customHeight="1" x14ac:dyDescent="0.2">
      <c r="C61234"/>
      <c r="M61234"/>
    </row>
    <row r="61235" spans="3:13" ht="12.75" customHeight="1" x14ac:dyDescent="0.2">
      <c r="C61235"/>
      <c r="M61235"/>
    </row>
    <row r="61237" spans="3:13" ht="12.75" customHeight="1" x14ac:dyDescent="0.2">
      <c r="C61237"/>
      <c r="M61237"/>
    </row>
    <row r="61248" spans="3:13" ht="12.75" customHeight="1" x14ac:dyDescent="0.2">
      <c r="C61248"/>
      <c r="M61248"/>
    </row>
    <row r="61249" spans="3:13" ht="12.75" customHeight="1" x14ac:dyDescent="0.2">
      <c r="C61249"/>
      <c r="M61249"/>
    </row>
    <row r="61250" spans="3:13" ht="12.75" customHeight="1" x14ac:dyDescent="0.2">
      <c r="C61250"/>
      <c r="M61250"/>
    </row>
    <row r="61251" spans="3:13" ht="12.75" customHeight="1" x14ac:dyDescent="0.2">
      <c r="C61251"/>
      <c r="M61251"/>
    </row>
    <row r="61253" spans="3:13" ht="12.75" customHeight="1" x14ac:dyDescent="0.2">
      <c r="C61253"/>
      <c r="M61253"/>
    </row>
    <row r="61264" spans="3:13" ht="12.75" customHeight="1" x14ac:dyDescent="0.2">
      <c r="C61264"/>
      <c r="M61264"/>
    </row>
    <row r="61265" spans="3:13" ht="12.75" customHeight="1" x14ac:dyDescent="0.2">
      <c r="C61265"/>
      <c r="M61265"/>
    </row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69" spans="3:13" ht="12.75" customHeight="1" x14ac:dyDescent="0.2">
      <c r="C61269"/>
      <c r="M61269"/>
    </row>
    <row r="61277" spans="3:13" ht="12.75" customHeight="1" x14ac:dyDescent="0.2">
      <c r="C61277"/>
      <c r="M61277"/>
    </row>
    <row r="61280" spans="3:13" ht="12.75" customHeight="1" x14ac:dyDescent="0.2">
      <c r="C61280"/>
      <c r="M61280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5" spans="3:13" ht="12.75" customHeight="1" x14ac:dyDescent="0.2">
      <c r="C61285"/>
      <c r="M61285"/>
    </row>
    <row r="61293" spans="3:13" ht="12.75" customHeight="1" x14ac:dyDescent="0.2">
      <c r="C61293"/>
      <c r="M61293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1" spans="3:13" ht="12.75" customHeight="1" x14ac:dyDescent="0.2">
      <c r="C61301"/>
      <c r="M61301"/>
    </row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7" spans="3:13" ht="12.75" customHeight="1" x14ac:dyDescent="0.2">
      <c r="C61317"/>
      <c r="M61317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3" spans="3:13" ht="12.75" customHeight="1" x14ac:dyDescent="0.2">
      <c r="C61333"/>
      <c r="M61333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49" spans="3:13" ht="12.75" customHeight="1" x14ac:dyDescent="0.2">
      <c r="C61349"/>
      <c r="M61349"/>
    </row>
    <row r="61355" spans="3:13" ht="12.75" customHeight="1" x14ac:dyDescent="0.2">
      <c r="C61355"/>
      <c r="M61355"/>
    </row>
    <row r="61356" spans="3:13" ht="12.75" customHeight="1" x14ac:dyDescent="0.2">
      <c r="C61356"/>
      <c r="M61356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71" spans="3:13" ht="12.75" customHeight="1" x14ac:dyDescent="0.2">
      <c r="C61371"/>
      <c r="M61371"/>
    </row>
    <row r="61372" spans="3:13" ht="12.75" customHeight="1" x14ac:dyDescent="0.2">
      <c r="C61372"/>
      <c r="M6137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7" spans="3:13" ht="12.75" customHeight="1" x14ac:dyDescent="0.2">
      <c r="C61387"/>
      <c r="M61387"/>
    </row>
    <row r="61388" spans="3:13" ht="12.75" customHeight="1" x14ac:dyDescent="0.2">
      <c r="C61388"/>
      <c r="M6138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403" spans="3:13" ht="12.75" customHeight="1" x14ac:dyDescent="0.2">
      <c r="C61403"/>
      <c r="M61403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8" spans="3:13" ht="12.75" customHeight="1" x14ac:dyDescent="0.2">
      <c r="C61418"/>
      <c r="M61418"/>
    </row>
    <row r="61419" spans="3:13" ht="12.75" customHeight="1" x14ac:dyDescent="0.2">
      <c r="C61419"/>
      <c r="M61419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  <row r="65331" spans="3:13" ht="12.75" customHeight="1" x14ac:dyDescent="0.2">
      <c r="C65331"/>
      <c r="M65331"/>
    </row>
    <row r="65332" spans="3:13" ht="12.75" customHeight="1" x14ac:dyDescent="0.2">
      <c r="C65332"/>
      <c r="M65332"/>
    </row>
    <row r="65333" spans="3:13" ht="12.75" customHeight="1" x14ac:dyDescent="0.2">
      <c r="C65333"/>
      <c r="M65333"/>
    </row>
    <row r="65334" spans="3:13" ht="12.75" customHeight="1" x14ac:dyDescent="0.2">
      <c r="C65334"/>
      <c r="M65334"/>
    </row>
    <row r="65335" spans="3:13" ht="12.75" customHeight="1" x14ac:dyDescent="0.2">
      <c r="C65335"/>
      <c r="M65335"/>
    </row>
    <row r="65336" spans="3:13" ht="12.75" customHeight="1" x14ac:dyDescent="0.2">
      <c r="C65336"/>
      <c r="M65336"/>
    </row>
    <row r="65337" spans="3:13" ht="12.75" customHeight="1" x14ac:dyDescent="0.2">
      <c r="C65337"/>
      <c r="M65337"/>
    </row>
    <row r="65338" spans="3:13" ht="12.75" customHeight="1" x14ac:dyDescent="0.2">
      <c r="C65338"/>
      <c r="M65338"/>
    </row>
    <row r="65339" spans="3:13" ht="12.75" customHeight="1" x14ac:dyDescent="0.2">
      <c r="C65339"/>
      <c r="M65339"/>
    </row>
    <row r="65340" spans="3:13" ht="12.75" customHeight="1" x14ac:dyDescent="0.2">
      <c r="C65340"/>
      <c r="M65340"/>
    </row>
    <row r="65341" spans="3:13" ht="12.75" customHeight="1" x14ac:dyDescent="0.2">
      <c r="C65341"/>
      <c r="M65341"/>
    </row>
    <row r="65342" spans="3:13" ht="12.75" customHeight="1" x14ac:dyDescent="0.2">
      <c r="C65342"/>
      <c r="M65342"/>
    </row>
    <row r="65343" spans="3:13" ht="12.75" customHeight="1" x14ac:dyDescent="0.2">
      <c r="C65343"/>
      <c r="M65343"/>
    </row>
    <row r="65344" spans="3:13" ht="12.75" customHeight="1" x14ac:dyDescent="0.2">
      <c r="C65344"/>
      <c r="M65344"/>
    </row>
    <row r="65345" spans="3:13" ht="12.75" customHeight="1" x14ac:dyDescent="0.2">
      <c r="C65345"/>
      <c r="M65345"/>
    </row>
    <row r="65346" spans="3:13" ht="12.75" customHeight="1" x14ac:dyDescent="0.2">
      <c r="C65346"/>
      <c r="M65346"/>
    </row>
    <row r="65347" spans="3:13" ht="12.75" customHeight="1" x14ac:dyDescent="0.2">
      <c r="C65347"/>
      <c r="M65347"/>
    </row>
    <row r="65348" spans="3:13" ht="12.75" customHeight="1" x14ac:dyDescent="0.2">
      <c r="C65348"/>
      <c r="M65348"/>
    </row>
    <row r="65349" spans="3:13" ht="12.75" customHeight="1" x14ac:dyDescent="0.2">
      <c r="C65349"/>
      <c r="M65349"/>
    </row>
    <row r="65350" spans="3:13" ht="12.75" customHeight="1" x14ac:dyDescent="0.2">
      <c r="C65350"/>
      <c r="M65350"/>
    </row>
    <row r="65351" spans="3:13" ht="12.75" customHeight="1" x14ac:dyDescent="0.2">
      <c r="C65351"/>
      <c r="M65351"/>
    </row>
    <row r="65352" spans="3:13" ht="12.75" customHeight="1" x14ac:dyDescent="0.2">
      <c r="C65352"/>
      <c r="M65352"/>
    </row>
    <row r="65353" spans="3:13" ht="12.75" customHeight="1" x14ac:dyDescent="0.2">
      <c r="C65353"/>
      <c r="M65353"/>
    </row>
    <row r="65354" spans="3:13" ht="12.75" customHeight="1" x14ac:dyDescent="0.2">
      <c r="C65354"/>
      <c r="M65354"/>
    </row>
    <row r="65355" spans="3:13" ht="12.75" customHeight="1" x14ac:dyDescent="0.2">
      <c r="C65355"/>
      <c r="M65355"/>
    </row>
    <row r="65356" spans="3:13" ht="12.75" customHeight="1" x14ac:dyDescent="0.2">
      <c r="C65356"/>
      <c r="M65356"/>
    </row>
    <row r="65357" spans="3:13" ht="12.75" customHeight="1" x14ac:dyDescent="0.2">
      <c r="C65357"/>
      <c r="M65357"/>
    </row>
    <row r="65358" spans="3:13" ht="12.75" customHeight="1" x14ac:dyDescent="0.2">
      <c r="C65358"/>
      <c r="M65358"/>
    </row>
    <row r="65359" spans="3:13" ht="12.75" customHeight="1" x14ac:dyDescent="0.2">
      <c r="C65359"/>
      <c r="M65359"/>
    </row>
    <row r="65360" spans="3:13" ht="12.75" customHeight="1" x14ac:dyDescent="0.2">
      <c r="C65360"/>
      <c r="M65360"/>
    </row>
    <row r="65361" spans="3:13" ht="12.75" customHeight="1" x14ac:dyDescent="0.2">
      <c r="C65361"/>
      <c r="M65361"/>
    </row>
    <row r="65362" spans="3:13" ht="12.75" customHeight="1" x14ac:dyDescent="0.2">
      <c r="C65362"/>
      <c r="M65362"/>
    </row>
    <row r="65363" spans="3:13" ht="12.75" customHeight="1" x14ac:dyDescent="0.2">
      <c r="C65363"/>
      <c r="M65363"/>
    </row>
    <row r="65364" spans="3:13" ht="12.75" customHeight="1" x14ac:dyDescent="0.2">
      <c r="C65364"/>
      <c r="M65364"/>
    </row>
    <row r="65365" spans="3:13" ht="12.75" customHeight="1" x14ac:dyDescent="0.2">
      <c r="C65365"/>
      <c r="M65365"/>
    </row>
    <row r="65366" spans="3:13" ht="12.75" customHeight="1" x14ac:dyDescent="0.2">
      <c r="C65366"/>
      <c r="M65366"/>
    </row>
    <row r="65367" spans="3:13" ht="12.75" customHeight="1" x14ac:dyDescent="0.2">
      <c r="C65367"/>
      <c r="M65367"/>
    </row>
    <row r="65368" spans="3:13" ht="12.75" customHeight="1" x14ac:dyDescent="0.2">
      <c r="C65368"/>
      <c r="M65368"/>
    </row>
    <row r="65369" spans="3:13" ht="12.75" customHeight="1" x14ac:dyDescent="0.2">
      <c r="C65369"/>
      <c r="M65369"/>
    </row>
    <row r="65370" spans="3:13" ht="12.75" customHeight="1" x14ac:dyDescent="0.2">
      <c r="C65370"/>
      <c r="M65370"/>
    </row>
    <row r="65371" spans="3:13" ht="12.75" customHeight="1" x14ac:dyDescent="0.2">
      <c r="C65371"/>
      <c r="M65371"/>
    </row>
    <row r="65372" spans="3:13" ht="12.75" customHeight="1" x14ac:dyDescent="0.2">
      <c r="C65372"/>
      <c r="M65372"/>
    </row>
    <row r="65373" spans="3:13" ht="12.75" customHeight="1" x14ac:dyDescent="0.2">
      <c r="C65373"/>
      <c r="M65373"/>
    </row>
    <row r="65374" spans="3:13" ht="12.75" customHeight="1" x14ac:dyDescent="0.2">
      <c r="C65374"/>
      <c r="M65374"/>
    </row>
    <row r="65375" spans="3:13" ht="12.75" customHeight="1" x14ac:dyDescent="0.2">
      <c r="C65375"/>
      <c r="M65375"/>
    </row>
    <row r="65376" spans="3:13" ht="12.75" customHeight="1" x14ac:dyDescent="0.2">
      <c r="C65376"/>
      <c r="M65376"/>
    </row>
    <row r="65377" spans="3:13" ht="12.75" customHeight="1" x14ac:dyDescent="0.2">
      <c r="C65377"/>
      <c r="M65377"/>
    </row>
    <row r="65378" spans="3:13" ht="12.75" customHeight="1" x14ac:dyDescent="0.2">
      <c r="C65378"/>
      <c r="M65378"/>
    </row>
    <row r="65379" spans="3:13" ht="12.75" customHeight="1" x14ac:dyDescent="0.2">
      <c r="C65379"/>
      <c r="M65379"/>
    </row>
    <row r="65380" spans="3:13" ht="12.75" customHeight="1" x14ac:dyDescent="0.2">
      <c r="C65380"/>
      <c r="M65380"/>
    </row>
    <row r="65381" spans="3:13" ht="12.75" customHeight="1" x14ac:dyDescent="0.2">
      <c r="C65381"/>
      <c r="M65381"/>
    </row>
    <row r="65382" spans="3:13" ht="12.75" customHeight="1" x14ac:dyDescent="0.2">
      <c r="C65382"/>
      <c r="M65382"/>
    </row>
    <row r="65383" spans="3:13" ht="12.75" customHeight="1" x14ac:dyDescent="0.2">
      <c r="C65383"/>
      <c r="M65383"/>
    </row>
    <row r="65384" spans="3:13" ht="12.75" customHeight="1" x14ac:dyDescent="0.2">
      <c r="C65384"/>
      <c r="M65384"/>
    </row>
    <row r="65385" spans="3:13" ht="12.75" customHeight="1" x14ac:dyDescent="0.2">
      <c r="C65385"/>
      <c r="M65385"/>
    </row>
    <row r="65386" spans="3:13" ht="12.75" customHeight="1" x14ac:dyDescent="0.2">
      <c r="C65386"/>
      <c r="M65386"/>
    </row>
    <row r="65387" spans="3:13" ht="12.75" customHeight="1" x14ac:dyDescent="0.2">
      <c r="C65387"/>
      <c r="M65387"/>
    </row>
    <row r="65388" spans="3:13" ht="12.75" customHeight="1" x14ac:dyDescent="0.2">
      <c r="C65388"/>
      <c r="M65388"/>
    </row>
    <row r="65389" spans="3:13" ht="12.75" customHeight="1" x14ac:dyDescent="0.2">
      <c r="C65389"/>
      <c r="M65389"/>
    </row>
    <row r="65390" spans="3:13" ht="12.75" customHeight="1" x14ac:dyDescent="0.2">
      <c r="C65390"/>
      <c r="M65390"/>
    </row>
    <row r="65391" spans="3:13" ht="12.75" customHeight="1" x14ac:dyDescent="0.2">
      <c r="C65391"/>
      <c r="M65391"/>
    </row>
    <row r="65392" spans="3:13" ht="12.75" customHeight="1" x14ac:dyDescent="0.2">
      <c r="C65392"/>
      <c r="M65392"/>
    </row>
    <row r="65393" spans="3:13" ht="12.75" customHeight="1" x14ac:dyDescent="0.2">
      <c r="C65393"/>
      <c r="M65393"/>
    </row>
    <row r="65394" spans="3:13" ht="12.75" customHeight="1" x14ac:dyDescent="0.2">
      <c r="C65394"/>
      <c r="M65394"/>
    </row>
    <row r="65395" spans="3:13" ht="12.75" customHeight="1" x14ac:dyDescent="0.2">
      <c r="C65395"/>
      <c r="M65395"/>
    </row>
    <row r="65396" spans="3:13" ht="12.75" customHeight="1" x14ac:dyDescent="0.2">
      <c r="C65396"/>
      <c r="M65396"/>
    </row>
    <row r="65397" spans="3:13" ht="12.75" customHeight="1" x14ac:dyDescent="0.2">
      <c r="C65397"/>
      <c r="M65397"/>
    </row>
    <row r="65398" spans="3:13" ht="12.75" customHeight="1" x14ac:dyDescent="0.2">
      <c r="C65398"/>
      <c r="M65398"/>
    </row>
    <row r="65399" spans="3:13" ht="12.75" customHeight="1" x14ac:dyDescent="0.2">
      <c r="C65399"/>
      <c r="M65399"/>
    </row>
    <row r="65400" spans="3:13" ht="12.75" customHeight="1" x14ac:dyDescent="0.2">
      <c r="C65400"/>
      <c r="M65400"/>
    </row>
    <row r="65401" spans="3:13" ht="12.75" customHeight="1" x14ac:dyDescent="0.2">
      <c r="C65401"/>
      <c r="M65401"/>
    </row>
    <row r="65402" spans="3:13" ht="12.75" customHeight="1" x14ac:dyDescent="0.2">
      <c r="C65402"/>
      <c r="M65402"/>
    </row>
    <row r="65403" spans="3:13" ht="12.75" customHeight="1" x14ac:dyDescent="0.2">
      <c r="C65403"/>
      <c r="M65403"/>
    </row>
    <row r="65404" spans="3:13" ht="12.75" customHeight="1" x14ac:dyDescent="0.2">
      <c r="C65404"/>
      <c r="M65404"/>
    </row>
    <row r="65405" spans="3:13" ht="12.75" customHeight="1" x14ac:dyDescent="0.2">
      <c r="C65405"/>
      <c r="M65405"/>
    </row>
    <row r="65406" spans="3:13" ht="12.75" customHeight="1" x14ac:dyDescent="0.2">
      <c r="C65406"/>
      <c r="M65406"/>
    </row>
    <row r="65407" spans="3:13" ht="12.75" customHeight="1" x14ac:dyDescent="0.2">
      <c r="C65407"/>
      <c r="M65407"/>
    </row>
    <row r="65408" spans="3:13" ht="12.75" customHeight="1" x14ac:dyDescent="0.2">
      <c r="C65408"/>
      <c r="M65408"/>
    </row>
    <row r="65409" spans="3:13" ht="12.75" customHeight="1" x14ac:dyDescent="0.2">
      <c r="C65409"/>
      <c r="M65409"/>
    </row>
    <row r="65410" spans="3:13" ht="12.75" customHeight="1" x14ac:dyDescent="0.2">
      <c r="C65410"/>
      <c r="M65410"/>
    </row>
    <row r="65411" spans="3:13" ht="12.75" customHeight="1" x14ac:dyDescent="0.2">
      <c r="C65411"/>
      <c r="M65411"/>
    </row>
    <row r="65412" spans="3:13" ht="12.75" customHeight="1" x14ac:dyDescent="0.2">
      <c r="C65412"/>
      <c r="M65412"/>
    </row>
    <row r="65413" spans="3:13" ht="12.75" customHeight="1" x14ac:dyDescent="0.2">
      <c r="C65413"/>
      <c r="M65413"/>
    </row>
    <row r="65414" spans="3:13" ht="12.75" customHeight="1" x14ac:dyDescent="0.2">
      <c r="C65414"/>
      <c r="M65414"/>
    </row>
    <row r="65415" spans="3:13" ht="12.75" customHeight="1" x14ac:dyDescent="0.2">
      <c r="C65415"/>
      <c r="M65415"/>
    </row>
    <row r="65416" spans="3:13" ht="12.75" customHeight="1" x14ac:dyDescent="0.2">
      <c r="C65416"/>
      <c r="M65416"/>
    </row>
    <row r="65417" spans="3:13" ht="12.75" customHeight="1" x14ac:dyDescent="0.2">
      <c r="C65417"/>
      <c r="M65417"/>
    </row>
    <row r="65418" spans="3:13" ht="12.75" customHeight="1" x14ac:dyDescent="0.2">
      <c r="C65418"/>
      <c r="M65418"/>
    </row>
    <row r="65419" spans="3:13" ht="12.75" customHeight="1" x14ac:dyDescent="0.2">
      <c r="C65419"/>
      <c r="M65419"/>
    </row>
    <row r="65420" spans="3:13" ht="12.75" customHeight="1" x14ac:dyDescent="0.2">
      <c r="C65420"/>
      <c r="M65420"/>
    </row>
    <row r="65421" spans="3:13" ht="12.75" customHeight="1" x14ac:dyDescent="0.2">
      <c r="C65421"/>
      <c r="M65421"/>
    </row>
    <row r="65422" spans="3:13" ht="12.75" customHeight="1" x14ac:dyDescent="0.2">
      <c r="C65422"/>
      <c r="M65422"/>
    </row>
    <row r="65423" spans="3:13" ht="12.75" customHeight="1" x14ac:dyDescent="0.2">
      <c r="C65423"/>
      <c r="M65423"/>
    </row>
    <row r="65424" spans="3:13" ht="12.75" customHeight="1" x14ac:dyDescent="0.2">
      <c r="C65424"/>
      <c r="M65424"/>
    </row>
    <row r="65425" spans="3:13" ht="12.75" customHeight="1" x14ac:dyDescent="0.2">
      <c r="C65425"/>
      <c r="M65425"/>
    </row>
    <row r="65426" spans="3:13" ht="12.75" customHeight="1" x14ac:dyDescent="0.2">
      <c r="C65426"/>
      <c r="M65426"/>
    </row>
    <row r="65427" spans="3:13" ht="12.75" customHeight="1" x14ac:dyDescent="0.2">
      <c r="C65427"/>
      <c r="M65427"/>
    </row>
    <row r="65428" spans="3:13" ht="12.75" customHeight="1" x14ac:dyDescent="0.2">
      <c r="C65428"/>
      <c r="M65428"/>
    </row>
    <row r="65429" spans="3:13" ht="12.75" customHeight="1" x14ac:dyDescent="0.2">
      <c r="C65429"/>
      <c r="M65429"/>
    </row>
    <row r="65430" spans="3:13" ht="12.75" customHeight="1" x14ac:dyDescent="0.2">
      <c r="C65430"/>
      <c r="M65430"/>
    </row>
    <row r="65431" spans="3:13" ht="12.75" customHeight="1" x14ac:dyDescent="0.2">
      <c r="C65431"/>
      <c r="M65431"/>
    </row>
    <row r="65432" spans="3:13" ht="12.75" customHeight="1" x14ac:dyDescent="0.2">
      <c r="C65432"/>
      <c r="M65432"/>
    </row>
    <row r="65433" spans="3:13" ht="12.75" customHeight="1" x14ac:dyDescent="0.2">
      <c r="C65433"/>
      <c r="M65433"/>
    </row>
    <row r="65439" spans="3:13" ht="0" hidden="1" customHeight="1" x14ac:dyDescent="0.2"/>
    <row r="65440" spans="3:13" ht="0" hidden="1" customHeight="1" x14ac:dyDescent="0.2"/>
  </sheetData>
  <sheetProtection algorithmName="SHA-512" hashValue="49gZW1o3zNlJXcaNzDCom98uwK6AcySiRp4T1MzuGuzxpaw38IomqhN0j7Gh1XZO0Ul2zqp6k176U7LoUUstJA==" saltValue="0OTcmTtVXS0AOGauTLVTOA==" spinCount="100000" sheet="1" objects="1" scenarios="1" autoFilter="0"/>
  <autoFilter ref="C15:C165" xr:uid="{00000000-0009-0000-0000-000005000000}"/>
  <mergeCells count="15"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8" type="noConversion"/>
  <conditionalFormatting sqref="D14:I14 D16:I52 D65:I69 D71:I164">
    <cfRule type="expression" dxfId="268" priority="5439" stopIfTrue="1">
      <formula>$B14=1</formula>
    </cfRule>
    <cfRule type="expression" dxfId="267" priority="5440" stopIfTrue="1">
      <formula>OR($B14=0,$B14=2,$B14=3,$B14=4)</formula>
    </cfRule>
  </conditionalFormatting>
  <conditionalFormatting sqref="M12:N52 M65:N69 M71:N165">
    <cfRule type="expression" dxfId="266" priority="5441" stopIfTrue="1">
      <formula>ACOMPANHAMENTO="BM"</formula>
    </cfRule>
    <cfRule type="expression" dxfId="265" priority="5442" stopIfTrue="1">
      <formula>OR($B12=0,$B12=2,$B12=3,$B12=4)</formula>
    </cfRule>
    <cfRule type="expression" dxfId="264" priority="5443" stopIfTrue="1">
      <formula>$B12=1</formula>
    </cfRule>
  </conditionalFormatting>
  <conditionalFormatting sqref="K12:K165">
    <cfRule type="expression" dxfId="263" priority="5444" stopIfTrue="1">
      <formula>OR(ACOMPANHAMENTO="BM",$A$12&lt;&gt;"Manual")</formula>
    </cfRule>
    <cfRule type="expression" dxfId="262" priority="5445" stopIfTrue="1">
      <formula>$B12=1</formula>
    </cfRule>
    <cfRule type="expression" dxfId="261" priority="5446" stopIfTrue="1">
      <formula>OR($B12=2,$B12=3,$B12=4,$B12=0)</formula>
    </cfRule>
  </conditionalFormatting>
  <conditionalFormatting sqref="O12:AA165">
    <cfRule type="expression" dxfId="260" priority="5447" stopIfTrue="1">
      <formula>ACOMPANHAMENTO="BM"</formula>
    </cfRule>
    <cfRule type="expression" dxfId="259" priority="5448" stopIfTrue="1">
      <formula>AND(O$12&lt;&gt;".",OR($B12=0,$B12=2,$B12=3,$B12=4,AND(O$12="",$B12&lt;&gt;"Empty"),OFFSET(O$12,0,-1)=""))</formula>
    </cfRule>
    <cfRule type="expression" dxfId="258" priority="5449" stopIfTrue="1">
      <formula>AND($B12=1,O$12&lt;&gt;".")</formula>
    </cfRule>
  </conditionalFormatting>
  <conditionalFormatting sqref="D53:I53 D70:I70">
    <cfRule type="expression" dxfId="257" priority="401" stopIfTrue="1">
      <formula>$B53=1</formula>
    </cfRule>
    <cfRule type="expression" dxfId="256" priority="402" stopIfTrue="1">
      <formula>OR($B53=0,$B53=2,$B53=3,$B53=4)</formula>
    </cfRule>
  </conditionalFormatting>
  <conditionalFormatting sqref="M53:N53 M70:N70">
    <cfRule type="expression" dxfId="255" priority="403" stopIfTrue="1">
      <formula>ACOMPANHAMENTO="BM"</formula>
    </cfRule>
    <cfRule type="expression" dxfId="254" priority="404" stopIfTrue="1">
      <formula>OR($B53=0,$B53=2,$B53=3,$B53=4)</formula>
    </cfRule>
    <cfRule type="expression" dxfId="253" priority="405" stopIfTrue="1">
      <formula>$B53=1</formula>
    </cfRule>
  </conditionalFormatting>
  <conditionalFormatting sqref="D63:I63">
    <cfRule type="expression" dxfId="252" priority="76" stopIfTrue="1">
      <formula>$B63=1</formula>
    </cfRule>
    <cfRule type="expression" dxfId="251" priority="77" stopIfTrue="1">
      <formula>OR($B63=0,$B63=2,$B63=3,$B63=4)</formula>
    </cfRule>
  </conditionalFormatting>
  <conditionalFormatting sqref="M63:N63">
    <cfRule type="expression" dxfId="250" priority="78" stopIfTrue="1">
      <formula>ACOMPANHAMENTO="BM"</formula>
    </cfRule>
    <cfRule type="expression" dxfId="249" priority="79" stopIfTrue="1">
      <formula>OR($B63=0,$B63=2,$B63=3,$B63=4)</formula>
    </cfRule>
    <cfRule type="expression" dxfId="248" priority="80" stopIfTrue="1">
      <formula>$B63=1</formula>
    </cfRule>
  </conditionalFormatting>
  <conditionalFormatting sqref="D54:I54">
    <cfRule type="expression" dxfId="247" priority="66" stopIfTrue="1">
      <formula>$B54=1</formula>
    </cfRule>
    <cfRule type="expression" dxfId="246" priority="67" stopIfTrue="1">
      <formula>OR($B54=0,$B54=2,$B54=3,$B54=4)</formula>
    </cfRule>
  </conditionalFormatting>
  <conditionalFormatting sqref="M54:N54">
    <cfRule type="expression" dxfId="245" priority="68" stopIfTrue="1">
      <formula>ACOMPANHAMENTO="BM"</formula>
    </cfRule>
    <cfRule type="expression" dxfId="244" priority="69" stopIfTrue="1">
      <formula>OR($B54=0,$B54=2,$B54=3,$B54=4)</formula>
    </cfRule>
    <cfRule type="expression" dxfId="243" priority="70" stopIfTrue="1">
      <formula>$B54=1</formula>
    </cfRule>
  </conditionalFormatting>
  <conditionalFormatting sqref="D62:I62">
    <cfRule type="expression" dxfId="242" priority="61" stopIfTrue="1">
      <formula>$B62=1</formula>
    </cfRule>
    <cfRule type="expression" dxfId="241" priority="62" stopIfTrue="1">
      <formula>OR($B62=0,$B62=2,$B62=3,$B62=4)</formula>
    </cfRule>
  </conditionalFormatting>
  <conditionalFormatting sqref="M62:N62">
    <cfRule type="expression" dxfId="240" priority="63" stopIfTrue="1">
      <formula>ACOMPANHAMENTO="BM"</formula>
    </cfRule>
    <cfRule type="expression" dxfId="239" priority="64" stopIfTrue="1">
      <formula>OR($B62=0,$B62=2,$B62=3,$B62=4)</formula>
    </cfRule>
    <cfRule type="expression" dxfId="238" priority="65" stopIfTrue="1">
      <formula>$B62=1</formula>
    </cfRule>
  </conditionalFormatting>
  <conditionalFormatting sqref="D55:I57">
    <cfRule type="expression" dxfId="237" priority="46" stopIfTrue="1">
      <formula>$B55=1</formula>
    </cfRule>
    <cfRule type="expression" dxfId="236" priority="47" stopIfTrue="1">
      <formula>OR($B55=0,$B55=2,$B55=3,$B55=4)</formula>
    </cfRule>
  </conditionalFormatting>
  <conditionalFormatting sqref="M55:N57">
    <cfRule type="expression" dxfId="235" priority="48" stopIfTrue="1">
      <formula>ACOMPANHAMENTO="BM"</formula>
    </cfRule>
    <cfRule type="expression" dxfId="234" priority="49" stopIfTrue="1">
      <formula>OR($B55=0,$B55=2,$B55=3,$B55=4)</formula>
    </cfRule>
    <cfRule type="expression" dxfId="233" priority="50" stopIfTrue="1">
      <formula>$B55=1</formula>
    </cfRule>
  </conditionalFormatting>
  <conditionalFormatting sqref="D59:I59">
    <cfRule type="expression" dxfId="232" priority="41" stopIfTrue="1">
      <formula>$B59=1</formula>
    </cfRule>
    <cfRule type="expression" dxfId="231" priority="42" stopIfTrue="1">
      <formula>OR($B59=0,$B59=2,$B59=3,$B59=4)</formula>
    </cfRule>
  </conditionalFormatting>
  <conditionalFormatting sqref="M59:N59">
    <cfRule type="expression" dxfId="230" priority="43" stopIfTrue="1">
      <formula>ACOMPANHAMENTO="BM"</formula>
    </cfRule>
    <cfRule type="expression" dxfId="229" priority="44" stopIfTrue="1">
      <formula>OR($B59=0,$B59=2,$B59=3,$B59=4)</formula>
    </cfRule>
    <cfRule type="expression" dxfId="228" priority="45" stopIfTrue="1">
      <formula>$B59=1</formula>
    </cfRule>
  </conditionalFormatting>
  <conditionalFormatting sqref="D64:I64">
    <cfRule type="expression" dxfId="227" priority="26" stopIfTrue="1">
      <formula>$B64=1</formula>
    </cfRule>
    <cfRule type="expression" dxfId="226" priority="27" stopIfTrue="1">
      <formula>OR($B64=0,$B64=2,$B64=3,$B64=4)</formula>
    </cfRule>
  </conditionalFormatting>
  <conditionalFormatting sqref="M64:N64">
    <cfRule type="expression" dxfId="225" priority="28" stopIfTrue="1">
      <formula>ACOMPANHAMENTO="BM"</formula>
    </cfRule>
    <cfRule type="expression" dxfId="224" priority="29" stopIfTrue="1">
      <formula>OR($B64=0,$B64=2,$B64=3,$B64=4)</formula>
    </cfRule>
    <cfRule type="expression" dxfId="223" priority="30" stopIfTrue="1">
      <formula>$B64=1</formula>
    </cfRule>
  </conditionalFormatting>
  <conditionalFormatting sqref="D61:I61">
    <cfRule type="expression" dxfId="222" priority="21" stopIfTrue="1">
      <formula>$B61=1</formula>
    </cfRule>
    <cfRule type="expression" dxfId="221" priority="22" stopIfTrue="1">
      <formula>OR($B61=0,$B61=2,$B61=3,$B61=4)</formula>
    </cfRule>
  </conditionalFormatting>
  <conditionalFormatting sqref="M61:N61">
    <cfRule type="expression" dxfId="220" priority="23" stopIfTrue="1">
      <formula>ACOMPANHAMENTO="BM"</formula>
    </cfRule>
    <cfRule type="expression" dxfId="219" priority="24" stopIfTrue="1">
      <formula>OR($B61=0,$B61=2,$B61=3,$B61=4)</formula>
    </cfRule>
    <cfRule type="expression" dxfId="218" priority="25" stopIfTrue="1">
      <formula>$B61=1</formula>
    </cfRule>
  </conditionalFormatting>
  <conditionalFormatting sqref="D58:I58">
    <cfRule type="expression" dxfId="217" priority="16" stopIfTrue="1">
      <formula>$B58=1</formula>
    </cfRule>
    <cfRule type="expression" dxfId="216" priority="17" stopIfTrue="1">
      <formula>OR($B58=0,$B58=2,$B58=3,$B58=4)</formula>
    </cfRule>
  </conditionalFormatting>
  <conditionalFormatting sqref="M58:N58">
    <cfRule type="expression" dxfId="215" priority="18" stopIfTrue="1">
      <formula>ACOMPANHAMENTO="BM"</formula>
    </cfRule>
    <cfRule type="expression" dxfId="214" priority="19" stopIfTrue="1">
      <formula>OR($B58=0,$B58=2,$B58=3,$B58=4)</formula>
    </cfRule>
    <cfRule type="expression" dxfId="213" priority="20" stopIfTrue="1">
      <formula>$B58=1</formula>
    </cfRule>
  </conditionalFormatting>
  <conditionalFormatting sqref="D60:I60">
    <cfRule type="expression" dxfId="212" priority="11" stopIfTrue="1">
      <formula>$B60=1</formula>
    </cfRule>
    <cfRule type="expression" dxfId="211" priority="12" stopIfTrue="1">
      <formula>OR($B60=0,$B60=2,$B60=3,$B60=4)</formula>
    </cfRule>
  </conditionalFormatting>
  <conditionalFormatting sqref="M60:N60">
    <cfRule type="expression" dxfId="210" priority="13" stopIfTrue="1">
      <formula>ACOMPANHAMENTO="BM"</formula>
    </cfRule>
    <cfRule type="expression" dxfId="209" priority="14" stopIfTrue="1">
      <formula>OR($B60=0,$B60=2,$B60=3,$B60=4)</formula>
    </cfRule>
    <cfRule type="expression" dxfId="208" priority="15" stopIfTrue="1">
      <formula>$B60=1</formula>
    </cfRule>
  </conditionalFormatting>
  <dataValidations count="4">
    <dataValidation type="decimal" operator="greaterThan" allowBlank="1" showErrorMessage="1" error="Apenas números decimais maiores que zero." sqref="O14 Q14:Z14 Q16:Z164 O16:O164" xr:uid="{00000000-0002-0000-0500-000000000000}">
      <formula1>0</formula1>
      <formula2>0</formula2>
    </dataValidation>
    <dataValidation type="list" allowBlank="1" showErrorMessage="1" sqref="K14 K16:K164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164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38"/>
  <sheetViews>
    <sheetView showGridLines="0" zoomScale="90" zoomScaleNormal="90" workbookViewId="0">
      <pane ySplit="14" topLeftCell="A15" activePane="bottomLeft" state="frozen"/>
      <selection pane="bottomLeft" activeCell="S27" sqref="S27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408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IF(AUTOEVENTO="Manual",ROUND(SUMPRODUCT((CÁLCULO!$M$15:$M$165=EVENTOS!$C14)*(OFFSET(CÁLCULO!$AA$15,0,1):OFFSET(CÁLCULO!$AL$165,0,-1))),2),0)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IF(AUTOEVENTO="Manual",ROUND(SUMIF(CÁLCULO!$M$15:$M$165,1,ORÇAMENTO!$X$15:$X$165),2),0)</f>
        <v>0</v>
      </c>
    </row>
    <row r="16" spans="2:6" x14ac:dyDescent="0.2">
      <c r="B16" t="str">
        <f t="shared" ref="B16:B37" ca="1" si="0">CONCATENATE(C16,".",D16)</f>
        <v>2.</v>
      </c>
      <c r="C16" s="198">
        <f t="shared" ref="C16:C37" ca="1" si="1">OFFSET(C16,-1,0)+1</f>
        <v>2</v>
      </c>
      <c r="D16" s="627"/>
      <c r="E16" s="627"/>
      <c r="F16" s="199">
        <f ca="1">IF(AUTOEVENTO="Manual",ROUND(SUMPRODUCT((CÁLCULO!$M$15:$M$165=EVENTOS!$C16)*(OFFSET(CÁLCULO!$AA$15,0,1):OFFSET(CÁLCULO!$AL$165,0,-1))),2),0)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7"/>
      <c r="E17" s="627"/>
      <c r="F17" s="199">
        <f ca="1">IF(AUTOEVENTO="Manual",ROUND(SUMPRODUCT((CÁLCULO!$M$15:$M$165=EVENTOS!$C17)*(OFFSET(CÁLCULO!$AA$15,0,1):OFFSET(CÁLCULO!$AL$165,0,-1))),2),0)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7"/>
      <c r="E18" s="627"/>
      <c r="F18" s="199">
        <f ca="1">IF(AUTOEVENTO="Manual",ROUND(SUMPRODUCT((CÁLCULO!$M$15:$M$165=EVENTOS!$C18)*(OFFSET(CÁLCULO!$AA$15,0,1):OFFSET(CÁLCULO!$AL$165,0,-1))),2),0)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7"/>
      <c r="E19" s="627"/>
      <c r="F19" s="199">
        <f ca="1">IF(AUTOEVENTO="Manual",ROUND(SUMPRODUCT((CÁLCULO!$M$15:$M$165=EVENTOS!$C19)*(OFFSET(CÁLCULO!$AA$15,0,1):OFFSET(CÁLCULO!$AL$165,0,-1))),2),0)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7"/>
      <c r="E20" s="627"/>
      <c r="F20" s="199">
        <f ca="1">IF(AUTOEVENTO="Manual",ROUND(SUMPRODUCT((CÁLCULO!$M$15:$M$165=EVENTOS!$C20)*(OFFSET(CÁLCULO!$AA$15,0,1):OFFSET(CÁLCULO!$AL$165,0,-1))),2),0)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IF(AUTOEVENTO="Manual",ROUND(SUMPRODUCT((CÁLCULO!$M$15:$M$165=EVENTOS!$C21)*(OFFSET(CÁLCULO!$AA$15,0,1):OFFSET(CÁLCULO!$AL$165,0,-1))),2),0)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IF(AUTOEVENTO="Manual",ROUND(SUMPRODUCT((CÁLCULO!$M$15:$M$165=EVENTOS!$C22)*(OFFSET(CÁLCULO!$AA$15,0,1):OFFSET(CÁLCULO!$AL$165,0,-1))),2),0)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IF(AUTOEVENTO="Manual",ROUND(SUMPRODUCT((CÁLCULO!$M$15:$M$165=EVENTOS!$C23)*(OFFSET(CÁLCULO!$AA$15,0,1):OFFSET(CÁLCULO!$AL$165,0,-1))),2),0)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IF(AUTOEVENTO="Manual",ROUND(SUMPRODUCT((CÁLCULO!$M$15:$M$165=EVENTOS!$C24)*(OFFSET(CÁLCULO!$AA$15,0,1):OFFSET(CÁLCULO!$AL$165,0,-1))),2),0)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IF(AUTOEVENTO="Manual",ROUND(SUMPRODUCT((CÁLCULO!$M$15:$M$165=EVENTOS!$C25)*(OFFSET(CÁLCULO!$AA$15,0,1):OFFSET(CÁLCULO!$AL$165,0,-1))),2),0)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IF(AUTOEVENTO="Manual",ROUND(SUMPRODUCT((CÁLCULO!$M$15:$M$165=EVENTOS!$C26)*(OFFSET(CÁLCULO!$AA$15,0,1):OFFSET(CÁLCULO!$AL$165,0,-1))),2),0)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IF(AUTOEVENTO="Manual",ROUND(SUMPRODUCT((CÁLCULO!$M$15:$M$165=EVENTOS!$C27)*(OFFSET(CÁLCULO!$AA$15,0,1):OFFSET(CÁLCULO!$AL$165,0,-1))),2),0)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IF(AUTOEVENTO="Manual",ROUND(SUMPRODUCT((CÁLCULO!$M$15:$M$165=EVENTOS!$C28)*(OFFSET(CÁLCULO!$AA$15,0,1):OFFSET(CÁLCULO!$AL$165,0,-1))),2),0)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IF(AUTOEVENTO="Manual",ROUND(SUMPRODUCT((CÁLCULO!$M$15:$M$165=EVENTOS!$C29)*(OFFSET(CÁLCULO!$AA$15,0,1):OFFSET(CÁLCULO!$AL$165,0,-1))),2),0)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IF(AUTOEVENTO="Manual",ROUND(SUMPRODUCT((CÁLCULO!$M$15:$M$165=EVENTOS!$C30)*(OFFSET(CÁLCULO!$AA$15,0,1):OFFSET(CÁLCULO!$AL$165,0,-1))),2),0)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IF(AUTOEVENTO="Manual",ROUND(SUMPRODUCT((CÁLCULO!$M$15:$M$165=EVENTOS!$C31)*(OFFSET(CÁLCULO!$AA$15,0,1):OFFSET(CÁLCULO!$AL$165,0,-1))),2),0)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IF(AUTOEVENTO="Manual",ROUND(SUMPRODUCT((CÁLCULO!$M$15:$M$165=EVENTOS!$C32)*(OFFSET(CÁLCULO!$AA$15,0,1):OFFSET(CÁLCULO!$AL$165,0,-1))),2),0)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IF(AUTOEVENTO="Manual",ROUND(SUMPRODUCT((CÁLCULO!$M$15:$M$165=EVENTOS!$C33)*(OFFSET(CÁLCULO!$AA$15,0,1):OFFSET(CÁLCULO!$AL$165,0,-1))),2),0)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IF(AUTOEVENTO="Manual",ROUND(SUMPRODUCT((CÁLCULO!$M$15:$M$165=EVENTOS!$C34)*(OFFSET(CÁLCULO!$AA$15,0,1):OFFSET(CÁLCULO!$AL$165,0,-1))),2),0)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IF(AUTOEVENTO="Manual",ROUND(SUMPRODUCT((CÁLCULO!$M$15:$M$165=EVENTOS!$C35)*(OFFSET(CÁLCULO!$AA$15,0,1):OFFSET(CÁLCULO!$AL$165,0,-1))),2),0)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IF(AUTOEVENTO="Manual",ROUND(SUMPRODUCT((CÁLCULO!$M$15:$M$165=EVENTOS!$C36)*(OFFSET(CÁLCULO!$AA$15,0,1):OFFSET(CÁLCULO!$AL$165,0,-1))),2),0)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IF(AUTOEVENTO="Manual",ROUND(SUMPRODUCT((CÁLCULO!$M$15:$M$165=EVENTOS!$C37)*(OFFSET(CÁLCULO!$AA$15,0,1):OFFSET(CÁLCULO!$AL$165,0,-1))),2),0)</f>
        <v>0</v>
      </c>
    </row>
    <row r="38" spans="2:6" ht="5.0999999999999996" customHeight="1" x14ac:dyDescent="0.2">
      <c r="C38" s="191"/>
      <c r="D38" s="202"/>
      <c r="E38" s="202"/>
      <c r="F38" s="203"/>
    </row>
  </sheetData>
  <sheetProtection algorithmName="SHA-512" hashValue="rVHU2GoPc7NWqNS5nK3z2Wmq6mEM30K+b6UbhjrmKKPqrWsVCxpdUZMrT4ucrBaA1lRaCHH9GvG6MXjLYt/kvQ==" saltValue="42HPeWXrtyf2bXKVkm8GDw==" spinCount="100000" sheet="1" objects="1" scenarios="1"/>
  <mergeCells count="27">
    <mergeCell ref="D35:E35"/>
    <mergeCell ref="D36:E36"/>
    <mergeCell ref="D37:E37"/>
    <mergeCell ref="D34:E34"/>
    <mergeCell ref="D20:E20"/>
    <mergeCell ref="D23:E23"/>
    <mergeCell ref="D24:E24"/>
    <mergeCell ref="D25:E25"/>
    <mergeCell ref="D28:E28"/>
    <mergeCell ref="D29:E29"/>
    <mergeCell ref="D31:E31"/>
    <mergeCell ref="D32:E32"/>
    <mergeCell ref="D26:E26"/>
    <mergeCell ref="D27:E27"/>
    <mergeCell ref="D30:E30"/>
    <mergeCell ref="D33:E33"/>
    <mergeCell ref="D21:E21"/>
    <mergeCell ref="D22:E22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</mergeCells>
  <phoneticPr fontId="38" type="noConversion"/>
  <conditionalFormatting sqref="C13:F15 C38:F38">
    <cfRule type="expression" dxfId="207" priority="112" stopIfTrue="1">
      <formula>OR(AUTOEVENTO&lt;&gt;"Manual",ACOMPANHAMENTO="BM")</formula>
    </cfRule>
  </conditionalFormatting>
  <conditionalFormatting sqref="C16:F24">
    <cfRule type="expression" dxfId="206" priority="6" stopIfTrue="1">
      <formula>OR(AUTOEVENTO&lt;&gt;"Manual",ACOMPANHAMENTO="BM")</formula>
    </cfRule>
  </conditionalFormatting>
  <conditionalFormatting sqref="C25:F33">
    <cfRule type="expression" dxfId="205" priority="5" stopIfTrue="1">
      <formula>OR(AUTOEVENTO&lt;&gt;"Manual",ACOMPANHAMENTO="BM")</formula>
    </cfRule>
  </conditionalFormatting>
  <conditionalFormatting sqref="C34:F37">
    <cfRule type="expression" dxfId="204" priority="4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129"/>
  <sheetViews>
    <sheetView showGridLines="0" zoomScaleNormal="10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AI119" sqref="AI119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IF($E2=-1,0,IF(M$13&lt;=$L1,IF(ISERROR(MATCH(M$13,OFFSET($L1,1,0,ROW($L$113)-ROW($L1)-1),0)),ROW($L$113)-ROW($L1)-1,MATCH(M$13,OFFSET($L1,1,0,ROW($L$113)-ROW($L1)-1),0)-1),0))</f>
        <v>#REF!</v>
      </c>
      <c r="N1" s="212" t="e">
        <f ca="1">IF($E2=-1,0,IF(N$13&lt;=$L1,IF(ISERROR(MATCH(N$13,OFFSET($L1,1,0,ROW($L$113)-ROW($L1)-1),0)),ROW($L$113)-ROW($L1)-1,MATCH(N$13,OFFSET($L1,1,0,ROW($L$113)-ROW($L1)-1),0)-1),0))</f>
        <v>#REF!</v>
      </c>
      <c r="O1" s="212" t="e">
        <f ca="1">IF($E2=-1,0,IF(O$13&lt;=$L1,IF(ISERROR(MATCH(O$13,OFFSET($L1,1,0,ROW($L$113)-ROW($L1)-1),0)),ROW($L$113)-ROW($L1)-1,MATCH(O$13,OFFSET($L1,1,0,ROW($L$113)-ROW($L1)-1),0)-1),0))</f>
        <v>#REF!</v>
      </c>
      <c r="P1" s="212" t="e">
        <f ca="1">IF($E2=-1,0,IF(P$13&lt;=$L1,IF(ISERROR(MATCH(P$13,OFFSET($L1,1,0,ROW($L$113)-ROW($L1)-1),0)),ROW($L$113)-ROW($L1)-1,MATCH(P$13,OFFSET($L1,1,0,ROW($L$113)-ROW($L1)-1),0)-1),0))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$165,"="&amp;CRONO!D$12,CÁLCULO!$AB$15:$AL$165)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$165,"&lt;="&amp;CRONO!T$12,CÁLCULO!$AB$15:$AL$165)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$165,"="&amp;CRONO!U$12,CÁLCULO!$AB$15:$AL$165)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$165,"="&amp;CRONO!V$12,CÁLCULO!$AB$15:$AL$165)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$165,"="&amp;CRONO!W$12,CÁLCULO!$AB$15:$AL$165)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$165,"="&amp;CRONO!X$12,CÁLCULO!$AB$15:$AL$165)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$165,"="&amp;CRONO!Y$12,CÁLCULO!$AB$15:$AL$165)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$165,"="&amp;CRONO!Z$12,CÁLCULO!$AB$15:$AL$165)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$165,"="&amp;CRONO!AA$12,CÁLCULO!$AB$15:$AL$165)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$165,"="&amp;CRONO!AB$12,CÁLCULO!$AB$15:$AL$165)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$165,"="&amp;CRONO!AC$12,CÁLCULO!$AB$15:$AL$165)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$165,"="&amp;CRONO!AD$12,CÁLCULO!$AB$15:$AL$165)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$165,"="&amp;CRONO!AE$12,CÁLCULO!$AB$15:$AL$165)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604" t="s">
        <v>140</v>
      </c>
      <c r="AE4" s="604"/>
    </row>
    <row r="5" spans="1:32" ht="15" x14ac:dyDescent="0.2">
      <c r="R5" s="84" t="str">
        <f>import.recurso</f>
        <v>(SELECIONAR)</v>
      </c>
      <c r="AD5" s="605" t="s">
        <v>143</v>
      </c>
      <c r="AE5" s="605"/>
    </row>
    <row r="6" spans="1:32" ht="12.75" customHeight="1" x14ac:dyDescent="0.2"/>
    <row r="7" spans="1:32" ht="12.75" customHeight="1" x14ac:dyDescent="0.2">
      <c r="E7" s="230"/>
      <c r="G7" s="639" t="s">
        <v>271</v>
      </c>
      <c r="H7" s="231" t="s">
        <v>146</v>
      </c>
      <c r="I7" s="232"/>
      <c r="J7" s="233" t="s">
        <v>447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593" t="s">
        <v>209</v>
      </c>
      <c r="G8" s="639"/>
      <c r="H8" s="637">
        <f>Import.CR</f>
        <v>0</v>
      </c>
      <c r="I8" s="637"/>
      <c r="J8" s="237">
        <f>Import.TransfereGOV</f>
        <v>0</v>
      </c>
      <c r="K8" s="636" t="str">
        <f>Import.Proponente</f>
        <v>PREFEITURA MUNICIPAL DE ÁGUAS DE CHAPECÓ</v>
      </c>
      <c r="L8" s="636"/>
      <c r="M8" s="636"/>
      <c r="N8" s="636"/>
      <c r="O8" s="636"/>
      <c r="P8" s="636"/>
      <c r="Q8" s="636"/>
      <c r="R8" s="636"/>
      <c r="S8" s="636"/>
      <c r="T8" s="637" t="str">
        <f>Import.Apelido</f>
        <v>SEDE ESPORTIVA, ILUMINAÇÃO E ALAMBRADO DO CAMPO</v>
      </c>
      <c r="U8" s="637"/>
      <c r="V8" s="637"/>
      <c r="W8" s="637"/>
      <c r="X8" s="637"/>
      <c r="Y8" s="633" t="str">
        <f>IF(TIPOORCAMENTO="Licitado",Import.empresa,Import.DescLote)</f>
        <v xml:space="preserve">SEDE ESPORTIVA </v>
      </c>
      <c r="Z8" s="633"/>
      <c r="AA8" s="633"/>
      <c r="AB8" s="633"/>
      <c r="AC8" s="633"/>
      <c r="AD8" s="633"/>
      <c r="AE8" s="224" t="str">
        <f>IF(TIPOORCAMENTO="Licitado",Import.CTEF,"")</f>
        <v/>
      </c>
    </row>
    <row r="9" spans="1:32" x14ac:dyDescent="0.2">
      <c r="E9" s="116"/>
      <c r="F9" s="593"/>
      <c r="G9" s="639"/>
    </row>
    <row r="10" spans="1:32" x14ac:dyDescent="0.2">
      <c r="E10" s="230"/>
      <c r="F10" s="593"/>
      <c r="G10" s="238">
        <v>4</v>
      </c>
      <c r="J10" s="638" t="str">
        <f ca="1">IF(MAX($A$13:$A$113)&lt;CRONO.LinhasNecessarias,"ERRO: NÚMERO DE LINHAS DO CRONOGRAMA INSUFICIENTE. CLIQUE EM ATUALIZAR LINHAS.",IF(AND(ACOMPANHAMENTO="PLE",ROUND(OFFSET($AF$123,0,-1),2)=0),"CRONOGRAMA DEVE SER PREENCHIDO POR EVENTOS",IF(ROUND(OFFSET($AF$123,0,-1),2)&lt;&gt;$Q$114,"ERRO: CRONOGRAMA NÃO FECHA 100%","")))</f>
        <v/>
      </c>
      <c r="K10" s="638"/>
      <c r="L10" s="638"/>
      <c r="M10" s="638"/>
      <c r="N10" s="638"/>
      <c r="O10" s="638"/>
      <c r="P10" s="638"/>
      <c r="Q10" s="638"/>
      <c r="R10" s="638"/>
      <c r="S10" s="638"/>
    </row>
    <row r="11" spans="1:32" ht="12.75" customHeight="1" x14ac:dyDescent="0.2">
      <c r="F11" s="593"/>
      <c r="H11" s="239"/>
      <c r="I11" s="239"/>
      <c r="J11" s="638"/>
      <c r="K11" s="638"/>
      <c r="L11" s="638"/>
      <c r="M11" s="638"/>
      <c r="N11" s="638"/>
      <c r="O11" s="638"/>
      <c r="P11" s="638"/>
      <c r="Q11" s="638"/>
      <c r="R11" s="638"/>
      <c r="S11" s="638"/>
    </row>
    <row r="12" spans="1:32" ht="12.75" customHeight="1" x14ac:dyDescent="0.2">
      <c r="D12" s="240">
        <f ca="1">OFFSET(D12,0,-1)+1</f>
        <v>1</v>
      </c>
      <c r="F12" s="108" t="s">
        <v>217</v>
      </c>
      <c r="G12" s="641" t="s">
        <v>274</v>
      </c>
      <c r="H12" s="642" t="s">
        <v>231</v>
      </c>
      <c r="I12" s="643" t="s">
        <v>234</v>
      </c>
      <c r="J12" s="241"/>
      <c r="K12" s="241"/>
      <c r="L12" s="242"/>
      <c r="M12" s="242"/>
      <c r="N12" s="242"/>
      <c r="O12" s="242"/>
      <c r="P12" s="242"/>
      <c r="Q12" s="242"/>
      <c r="R12" s="634" t="s">
        <v>275</v>
      </c>
      <c r="S12" s="635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41"/>
      <c r="H13" s="642"/>
      <c r="I13" s="643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34"/>
      <c r="S13" s="635"/>
      <c r="T13" s="250">
        <v>46357</v>
      </c>
      <c r="U13" s="246">
        <f ca="1">OFFSET(U13,0,-1)+41-DAY(OFFSET(U13,0,-1)+40)</f>
        <v>46388</v>
      </c>
      <c r="V13" s="246">
        <f ca="1">OFFSET(V13,0,-1)+41-DAY(OFFSET(V13,0,-1)+40)</f>
        <v>46419</v>
      </c>
      <c r="W13" s="246">
        <f t="shared" ref="W13:AE13" ca="1" si="2">OFFSET(W13,0,-1)+41-DAY(OFFSET(W13,0,-1)+40)</f>
        <v>46447</v>
      </c>
      <c r="X13" s="246">
        <f t="shared" ca="1" si="2"/>
        <v>46478</v>
      </c>
      <c r="Y13" s="246">
        <f t="shared" ca="1" si="2"/>
        <v>46508</v>
      </c>
      <c r="Z13" s="246">
        <f t="shared" ca="1" si="2"/>
        <v>46539</v>
      </c>
      <c r="AA13" s="246">
        <f t="shared" ca="1" si="2"/>
        <v>46569</v>
      </c>
      <c r="AB13" s="246">
        <f t="shared" ca="1" si="2"/>
        <v>46600</v>
      </c>
      <c r="AC13" s="246">
        <f t="shared" ca="1" si="2"/>
        <v>46631</v>
      </c>
      <c r="AD13" s="246">
        <f t="shared" ca="1" si="2"/>
        <v>46661</v>
      </c>
      <c r="AE13" s="251">
        <f t="shared" ca="1" si="2"/>
        <v>46692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>
        <f ca="1">IF(AND($Q14=2,ACOMPANHAMENTO="BM"),D15,D16/$R14)</f>
        <v>0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>F</v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SERVIÇOS PRELIMINARES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IF($E15=-1,0,IF(M$13&lt;=$L14,IF(ISERROR(MATCH(M$13,OFFSET($L14,1,0,ROW($L$113)-ROW($L14)-1),0)),ROW($L$113)-ROW($L14)-1,MATCH(M$13,OFFSET($L14,1,0,ROW($L$113)-ROW($L14)-1),0)-1),0))</f>
        <v>8</v>
      </c>
      <c r="N14" s="212">
        <f ca="1">IF($E15=-1,0,IF(N$13&lt;=$L14,IF(ISERROR(MATCH(N$13,OFFSET($L14,1,0,ROW($L$113)-ROW($L14)-1),0)),ROW($L$113)-ROW($L14)-1,MATCH(N$13,OFFSET($L14,1,0,ROW($L$113)-ROW($L14)-1),0)-1),0))</f>
        <v>0</v>
      </c>
      <c r="O14" s="212">
        <f ca="1">IF($E15=-1,0,IF(O$13&lt;=$L14,IF(ISERROR(MATCH(O$13,OFFSET($L14,1,0,ROW($L$113)-ROW($L14)-1),0)),ROW($L$113)-ROW($L14)-1,MATCH(O$13,OFFSET($L14,1,0,ROW($L$113)-ROW($L14)-1),0)-1),0))</f>
        <v>0</v>
      </c>
      <c r="P14" s="212">
        <f ca="1">IF($E15=-1,0,IF(P$13&lt;=$L14,IF(ISERROR(MATCH(P$13,OFFSET($L14,1,0,ROW($L$113)-ROW($L14)-1),0)),ROW($L$113)-ROW($L14)-1,MATCH(P$13,OFFSET($L14,1,0,ROW($L$113)-ROW($L14)-1),0)-1),0))</f>
        <v>0</v>
      </c>
      <c r="Q14" s="212">
        <f t="shared" ref="Q14" ca="1" si="5">MIN(OFFSET(L14,0,1,,L14))</f>
        <v>8</v>
      </c>
      <c r="R14" s="213">
        <f ca="1">IF($E15=0,OFFSET(ORÇAMENTO!X$15,$E14,0),IF($E15&lt;&gt;-1,OFFSET(QCI!$O$13,$E15,0),""))</f>
        <v>13584.25</v>
      </c>
      <c r="S14" s="214" t="s">
        <v>270</v>
      </c>
      <c r="T14" s="215">
        <f t="shared" ref="T14:AE14" ca="1" si="6">IF(AND($Q14=2,ACOMPANHAMENTO="BM"),T15,T16/$R14)</f>
        <v>1</v>
      </c>
      <c r="U14" s="207">
        <f t="shared" ca="1" si="6"/>
        <v>0</v>
      </c>
      <c r="V14" s="207">
        <f t="shared" ca="1" si="6"/>
        <v>0</v>
      </c>
      <c r="W14" s="207">
        <f t="shared" ca="1" si="6"/>
        <v>0</v>
      </c>
      <c r="X14" s="207">
        <f t="shared" ca="1" si="6"/>
        <v>0</v>
      </c>
      <c r="Y14" s="207">
        <f t="shared" ca="1" si="6"/>
        <v>0</v>
      </c>
      <c r="Z14" s="207">
        <f t="shared" ca="1" si="6"/>
        <v>0</v>
      </c>
      <c r="AA14" s="207">
        <f t="shared" ca="1" si="6"/>
        <v>0</v>
      </c>
      <c r="AB14" s="207">
        <f t="shared" ca="1" si="6"/>
        <v>0</v>
      </c>
      <c r="AC14" s="207">
        <f t="shared" ca="1" si="6"/>
        <v>0</v>
      </c>
      <c r="AD14" s="207">
        <f t="shared" ca="1" si="6"/>
        <v>0</v>
      </c>
      <c r="AE14" s="216">
        <f t="shared" ca="1" si="6"/>
        <v>0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>F</v>
      </c>
      <c r="G15" s="217" t="str">
        <f ca="1">IF(OR(R14=0,R14=""),"vazia",IF(AND(OR(ACOMPANHAMENTO="PLE",$Q14&lt;&gt;2),$E15=0),"calculada","--&gt;"))</f>
        <v>calculada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$165,"="&amp;CRONO!D$12,CÁLCULO!$AB$15:$AL$165)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$165,"&lt;="&amp;CRONO!T$12,CÁLCULO!$AB$15:$AL$165)/(ORÇAMENTO!$X$15-CÁLCULO.TotalAdmLocal)*CRONO!$E16,0),T15*$R14),SUMIF(OFFSET($R16,1,0,$Q14-2),($L14+1)&amp;"$",OFFSET(T16,1,0,$Q14-2)))</f>
        <v>13584.25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$165,"="&amp;CRONO!U$12,CÁLCULO!$AB$15:$AL$165)/(ORÇAMENTO!$X$15-CÁLCULO.TotalAdmLocal)*CRONO!$E16,0),U15*$R14),SUMIF(OFFSET($R16,1,0,$Q14-2),($L14+1)&amp;"$",OFFSET(U16,1,0,$Q14-2)))</f>
        <v>0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$165,"="&amp;CRONO!V$12,CÁLCULO!$AB$15:$AL$165)/(ORÇAMENTO!$X$15-CÁLCULO.TotalAdmLocal)*CRONO!$E16,0),V15*$R14),SUMIF(OFFSET($R16,1,0,$Q14-2),($L14+1)&amp;"$",OFFSET(V16,1,0,$Q14-2)))</f>
        <v>0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$165,"="&amp;CRONO!W$12,CÁLCULO!$AB$15:$AL$165)/(ORÇAMENTO!$X$15-CÁLCULO.TotalAdmLocal)*CRONO!$E16,0),W15*$R14),SUMIF(OFFSET($R16,1,0,$Q14-2),($L14+1)&amp;"$",OFFSET(W16,1,0,$Q14-2)))</f>
        <v>0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$165,"="&amp;CRONO!X$12,CÁLCULO!$AB$15:$AL$165)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$165,"="&amp;CRONO!Y$12,CÁLCULO!$AB$15:$AL$165)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$165,"="&amp;CRONO!Z$12,CÁLCULO!$AB$15:$AL$165)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$165,"="&amp;CRONO!AA$12,CÁLCULO!$AB$15:$AL$165)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$165,"="&amp;CRONO!AB$12,CÁLCULO!$AB$15:$AL$165)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$165,"="&amp;CRONO!AC$12,CÁLCULO!$AB$15:$AL$165)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$165,"="&amp;CRONO!AD$12,CÁLCULO!$AB$15:$AL$165)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$165,"="&amp;CRONO!AE$12,CÁLCULO!$AB$15:$AL$165)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1.0000000000000002</v>
      </c>
      <c r="C17" s="204">
        <f ca="1">IF($Q17&lt;&gt;2,0,IF($R17=0,1,IF(E18&gt;0,OFFSET(QCI!$N$13,SUBSTITUTE(E18,".",""),0),OFFSET(ORÇAMENTO!$AB$15,CRONO!$E17,0))/$R17))</f>
        <v>0</v>
      </c>
      <c r="D17" s="207">
        <f ca="1">IF(AND($Q17=2,ACOMPANHAMENTO="BM"),D18,D19/$R17)</f>
        <v>0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>F</v>
      </c>
      <c r="G17" s="208">
        <f ca="1">IF(OR(R17=0,R17=""),"Linha",IF(AND(OR(ACOMPANHAMENTO="PLE",$Q17&lt;&gt;2),$E18=0),"Linha",1-SUM(T17:AF17)))</f>
        <v>0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 xml:space="preserve">PROJETOS E EXECUÇÃO 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IF($E18=-1,0,IF(M$13&lt;=$L17,IF(ISERROR(MATCH(M$13,OFFSET($L17,1,0,ROW($L$113)-ROW($L17)-1),0)),ROW($L$113)-ROW($L17)-1,MATCH(M$13,OFFSET($L17,1,0,ROW($L$113)-ROW($L17)-1),0)-1),0))</f>
        <v>5</v>
      </c>
      <c r="N17" s="212">
        <f ca="1">IF($E18=-1,0,IF(N$13&lt;=$L17,IF(ISERROR(MATCH(N$13,OFFSET($L17,1,0,ROW($L$113)-ROW($L17)-1),0)),ROW($L$113)-ROW($L17)-1,MATCH(N$13,OFFSET($L17,1,0,ROW($L$113)-ROW($L17)-1),0)-1),0))</f>
        <v>2</v>
      </c>
      <c r="O17" s="212">
        <f ca="1">IF($E18=-1,0,IF(O$13&lt;=$L17,IF(ISERROR(MATCH(O$13,OFFSET($L17,1,0,ROW($L$113)-ROW($L17)-1),0)),ROW($L$113)-ROW($L17)-1,MATCH(O$13,OFFSET($L17,1,0,ROW($L$113)-ROW($L17)-1),0)-1),0))</f>
        <v>0</v>
      </c>
      <c r="P17" s="212">
        <f ca="1">IF($E18=-1,0,IF(P$13&lt;=$L17,IF(ISERROR(MATCH(P$13,OFFSET($L17,1,0,ROW($L$113)-ROW($L17)-1),0)),ROW($L$113)-ROW($L17)-1,MATCH(P$13,OFFSET($L17,1,0,ROW($L$113)-ROW($L17)-1),0)-1),0))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7764.48</v>
      </c>
      <c r="S17" s="214" t="s">
        <v>270</v>
      </c>
      <c r="T17" s="215">
        <f t="shared" ref="T17:AE17" ca="1" si="13">IF(AND($Q17=2,ACOMPANHAMENTO="BM"),T18,T19/$R17)</f>
        <v>1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>F</v>
      </c>
      <c r="G18" s="217" t="str">
        <f ca="1">IF(OR(R17=0,R17=""),"vazia",IF(AND(OR(ACOMPANHAMENTO="PLE",$Q17&lt;&gt;2),$E18=0),"calculada","--&gt;"))</f>
        <v>--&gt;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>
        <v>1</v>
      </c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$165,"="&amp;CRONO!D$12,CÁLCULO!$AB$15:$AL$165)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$165,"&lt;="&amp;CRONO!T$12,CÁLCULO!$AB$15:$AL$165)/(ORÇAMENTO!$X$15-CÁLCULO.TotalAdmLocal)*CRONO!$E19,0),T18*$R17),SUMIF(OFFSET($R19,1,0,$Q17-2),($L17+1)&amp;"$",OFFSET(T19,1,0,$Q17-2)))</f>
        <v>7764.48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$165,"="&amp;CRONO!U$12,CÁLCULO!$AB$15:$AL$165)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$165,"="&amp;CRONO!V$12,CÁLCULO!$AB$15:$AL$165)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$165,"="&amp;CRONO!W$12,CÁLCULO!$AB$15:$AL$165)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$165,"="&amp;CRONO!X$12,CÁLCULO!$AB$15:$AL$165)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$165,"="&amp;CRONO!Y$12,CÁLCULO!$AB$15:$AL$165)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$165,"="&amp;CRONO!Z$12,CÁLCULO!$AB$15:$AL$165)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$165,"="&amp;CRONO!AA$12,CÁLCULO!$AB$15:$AL$165)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$165,"="&amp;CRONO!AB$12,CÁLCULO!$AB$15:$AL$165)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$165,"="&amp;CRONO!AC$12,CÁLCULO!$AB$15:$AL$165)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$165,"="&amp;CRONO!AD$12,CÁLCULO!$AB$15:$AL$165)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$165,"="&amp;CRONO!AE$12,CÁLCULO!$AB$15:$AL$165)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1</v>
      </c>
      <c r="C20" s="204">
        <f ca="1">IF($Q20&lt;&gt;2,0,IF($R20=0,1,IF(E21&gt;0,OFFSET(QCI!$N$13,SUBSTITUTE(E21,".",""),0),OFFSET(ORÇAMENTO!$AB$15,CRONO!$E20,0))/$R20))</f>
        <v>0</v>
      </c>
      <c r="D20" s="207">
        <f ca="1">IF(AND($Q20=2,ACOMPANHAMENTO="BM"),D21,D22/$R20)</f>
        <v>0</v>
      </c>
      <c r="E20" s="204">
        <f ca="1">IF(A20&lt;=ORÇAMENTO.MáximoListaCrono,MATCH(A20,ORÇAMENTO.ListaCrono,0),NA())</f>
        <v>8</v>
      </c>
      <c r="F20" s="204" t="str">
        <f t="shared" ref="F20" ca="1" si="18">IF(AND($E21&lt;&gt;-1,$R20&gt;0),"F","")</f>
        <v>F</v>
      </c>
      <c r="G20" s="208">
        <f ca="1">IF(OR(R20=0,R20=""),"Linha",IF(AND(OR(ACOMPANHAMENTO="PLE",$Q20&lt;&gt;2),$E21=0),"Linha",1-SUM(T20:AF20)))</f>
        <v>0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 xml:space="preserve">SERVIÇOS INICIAIS E LOCAÇÃO 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IF($E21=-1,0,IF(M$13&lt;=$L20,IF(ISERROR(MATCH(M$13,OFFSET($L20,1,0,ROW($L$113)-ROW($L20)-1),0)),ROW($L$113)-ROW($L20)-1,MATCH(M$13,OFFSET($L20,1,0,ROW($L$113)-ROW($L20)-1),0)-1),0))</f>
        <v>2</v>
      </c>
      <c r="N20" s="212">
        <f ca="1">IF($E21=-1,0,IF(N$13&lt;=$L20,IF(ISERROR(MATCH(N$13,OFFSET($L20,1,0,ROW($L$113)-ROW($L20)-1),0)),ROW($L$113)-ROW($L20)-1,MATCH(N$13,OFFSET($L20,1,0,ROW($L$113)-ROW($L20)-1),0)-1),0))</f>
        <v>5</v>
      </c>
      <c r="O20" s="212">
        <f ca="1">IF($E21=-1,0,IF(O$13&lt;=$L20,IF(ISERROR(MATCH(O$13,OFFSET($L20,1,0,ROW($L$113)-ROW($L20)-1),0)),ROW($L$113)-ROW($L20)-1,MATCH(O$13,OFFSET($L20,1,0,ROW($L$113)-ROW($L20)-1),0)-1),0))</f>
        <v>0</v>
      </c>
      <c r="P20" s="212">
        <f ca="1">IF($E21=-1,0,IF(P$13&lt;=$L20,IF(ISERROR(MATCH(P$13,OFFSET($L20,1,0,ROW($L$113)-ROW($L20)-1),0)),ROW($L$113)-ROW($L20)-1,MATCH(P$13,OFFSET($L20,1,0,ROW($L$113)-ROW($L20)-1),0)-1),0))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5819.77</v>
      </c>
      <c r="S20" s="214" t="s">
        <v>270</v>
      </c>
      <c r="T20" s="215">
        <f t="shared" ref="T20:AE20" ca="1" si="20">IF(AND($Q20=2,ACOMPANHAMENTO="BM"),T21,T22/$R20)</f>
        <v>1</v>
      </c>
      <c r="U20" s="207">
        <f t="shared" ca="1" si="20"/>
        <v>0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>F</v>
      </c>
      <c r="G21" s="217" t="str">
        <f ca="1">IF(OR(R20=0,R20=""),"vazia",IF(AND(OR(ACOMPANHAMENTO="PLE",$Q20&lt;&gt;2),$E21=0),"calculada","--&gt;"))</f>
        <v>--&gt;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>
        <v>1</v>
      </c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$165,"="&amp;CRONO!D$12,CÁLCULO!$AB$15:$AL$165)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$165,"&lt;="&amp;CRONO!T$12,CÁLCULO!$AB$15:$AL$165)/(ORÇAMENTO!$X$15-CÁLCULO.TotalAdmLocal)*CRONO!$E22,0),T21*$R20),SUMIF(OFFSET($R22,1,0,$Q20-2),($L20+1)&amp;"$",OFFSET(T22,1,0,$Q20-2)))</f>
        <v>5819.77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$165,"="&amp;CRONO!U$12,CÁLCULO!$AB$15:$AL$165)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$165,"="&amp;CRONO!V$12,CÁLCULO!$AB$15:$AL$165)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$165,"="&amp;CRONO!W$12,CÁLCULO!$AB$15:$AL$165)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$165,"="&amp;CRONO!X$12,CÁLCULO!$AB$15:$AL$165)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$165,"="&amp;CRONO!Y$12,CÁLCULO!$AB$15:$AL$165)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$165,"="&amp;CRONO!Z$12,CÁLCULO!$AB$15:$AL$165)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$165,"="&amp;CRONO!AA$12,CÁLCULO!$AB$15:$AL$165)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$165,"="&amp;CRONO!AB$12,CÁLCULO!$AB$15:$AL$165)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$165,"="&amp;CRONO!AC$12,CÁLCULO!$AB$15:$AL$165)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$165,"="&amp;CRONO!AD$12,CÁLCULO!$AB$15:$AL$165)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$165,"="&amp;CRONO!AE$12,CÁLCULO!$AB$15:$AL$165)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0</v>
      </c>
      <c r="C23" s="204">
        <f ca="1">IF($Q23&lt;&gt;2,0,IF($R23=0,1,IF(E24&gt;0,OFFSET(QCI!$N$13,SUBSTITUTE(E24,".",""),0),OFFSET(ORÇAMENTO!$AB$15,CRONO!$E23,0))/$R23))</f>
        <v>0</v>
      </c>
      <c r="D23" s="207">
        <f ca="1">IF(AND($Q23=2,ACOMPANHAMENTO="BM"),D24,D25/$R23)</f>
        <v>0</v>
      </c>
      <c r="E23" s="204">
        <f ca="1">IF(A23&lt;=ORÇAMENTO.MáximoListaCrono,MATCH(A23,ORÇAMENTO.ListaCrono,0),NA())</f>
        <v>12</v>
      </c>
      <c r="F23" s="204" t="str">
        <f t="shared" ref="F23" ca="1" si="25">IF(AND($E24&lt;&gt;-1,$R23&gt;0),"F","")</f>
        <v>F</v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2.</v>
      </c>
      <c r="I23" s="210" t="str">
        <f ca="1">IF($E24=0,OFFSET(ORÇAMENTO!R$15,$E23,0),IF($E24&lt;&gt;-1,OFFSET(QCI!$G$13,$E24,0),""))</f>
        <v xml:space="preserve">FUNDAÇÕES </v>
      </c>
      <c r="J23" s="210"/>
      <c r="K23" s="210"/>
      <c r="L23" s="211">
        <f ca="1">IF($E24=0,OFFSET(ORÇAMENTO!C$15,$E23,0),1)</f>
        <v>1</v>
      </c>
      <c r="M23" s="212">
        <f ca="1">IF($E24=-1,0,IF(M$13&lt;=$L23,IF(ISERROR(MATCH(M$13,OFFSET($L23,1,0,ROW($L$113)-ROW($L23)-1),0)),ROW($L$113)-ROW($L23)-1,MATCH(M$13,OFFSET($L23,1,0,ROW($L$113)-ROW($L23)-1),0)-1),0))</f>
        <v>8</v>
      </c>
      <c r="N23" s="212">
        <f ca="1">IF($E24=-1,0,IF(N$13&lt;=$L23,IF(ISERROR(MATCH(N$13,OFFSET($L23,1,0,ROW($L$113)-ROW($L23)-1),0)),ROW($L$113)-ROW($L23)-1,MATCH(N$13,OFFSET($L23,1,0,ROW($L$113)-ROW($L23)-1),0)-1),0))</f>
        <v>0</v>
      </c>
      <c r="O23" s="212">
        <f ca="1">IF($E24=-1,0,IF(O$13&lt;=$L23,IF(ISERROR(MATCH(O$13,OFFSET($L23,1,0,ROW($L$113)-ROW($L23)-1),0)),ROW($L$113)-ROW($L23)-1,MATCH(O$13,OFFSET($L23,1,0,ROW($L$113)-ROW($L23)-1),0)-1),0))</f>
        <v>0</v>
      </c>
      <c r="P23" s="212">
        <f ca="1">IF($E24=-1,0,IF(P$13&lt;=$L23,IF(ISERROR(MATCH(P$13,OFFSET($L23,1,0,ROW($L$113)-ROW($L23)-1),0)),ROW($L$113)-ROW($L23)-1,MATCH(P$13,OFFSET($L23,1,0,ROW($L$113)-ROW($L23)-1),0)-1),0))</f>
        <v>0</v>
      </c>
      <c r="Q23" s="212">
        <f t="shared" ref="Q23" ca="1" si="26">MIN(OFFSET(L23,0,1,,L23))</f>
        <v>8</v>
      </c>
      <c r="R23" s="213">
        <f ca="1">IF($E24=0,OFFSET(ORÇAMENTO!X$15,$E23,0),IF($E24&lt;&gt;-1,OFFSET(QCI!$O$13,$E24,0),""))</f>
        <v>29551.54</v>
      </c>
      <c r="S23" s="214" t="s">
        <v>270</v>
      </c>
      <c r="T23" s="215">
        <f t="shared" ref="T23:AE23" ca="1" si="27">IF(AND($Q23=2,ACOMPANHAMENTO="BM"),T24,T25/$R23)</f>
        <v>1</v>
      </c>
      <c r="U23" s="207">
        <f t="shared" ca="1" si="27"/>
        <v>0</v>
      </c>
      <c r="V23" s="207">
        <f t="shared" ca="1" si="27"/>
        <v>0</v>
      </c>
      <c r="W23" s="207">
        <f t="shared" ca="1" si="27"/>
        <v>0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>F</v>
      </c>
      <c r="G24" s="217" t="str">
        <f ca="1">IF(OR(R23=0,R23=""),"vazia",IF(AND(OR(ACOMPANHAMENTO="PLE",$Q23&lt;&gt;2),$E24=0),"calculada","--&gt;"))</f>
        <v>calculada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hidden="1" customHeight="1" x14ac:dyDescent="0.2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$165,"="&amp;CRONO!D$12,CÁLCULO!$AB$15:$AL$165)/(ORÇAMENTO!$X$15-CÁLCULO.TotalAdmLocal)*CRONO!$E25,0),D24*$R23),SUMIF(OFFSET($R25,1,0,$Q23-2),($L23+1)&amp;"$",OFFSET(D25,1,0,$Q23-2)))</f>
        <v>0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1$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$165,"&lt;="&amp;CRONO!T$12,CÁLCULO!$AB$15:$AL$165)/(ORÇAMENTO!$X$15-CÁLCULO.TotalAdmLocal)*CRONO!$E25,0),T24*$R23),SUMIF(OFFSET($R25,1,0,$Q23-2),($L23+1)&amp;"$",OFFSET(T25,1,0,$Q23-2)))</f>
        <v>29551.54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$165,"="&amp;CRONO!U$12,CÁLCULO!$AB$15:$AL$165)/(ORÇAMENTO!$X$15-CÁLCULO.TotalAdmLocal)*CRONO!$E25,0),U24*$R23),SUMIF(OFFSET($R25,1,0,$Q23-2),($L23+1)&amp;"$",OFFSET(U25,1,0,$Q23-2)))</f>
        <v>0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$165,"="&amp;CRONO!V$12,CÁLCULO!$AB$15:$AL$165)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$165,"="&amp;CRONO!W$12,CÁLCULO!$AB$15:$AL$165)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$165,"="&amp;CRONO!X$12,CÁLCULO!$AB$15:$AL$165)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$165,"="&amp;CRONO!Y$12,CÁLCULO!$AB$15:$AL$165)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$165,"="&amp;CRONO!Z$12,CÁLCULO!$AB$15:$AL$165)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$165,"="&amp;CRONO!AA$12,CÁLCULO!$AB$15:$AL$165)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$165,"="&amp;CRONO!AB$12,CÁLCULO!$AB$15:$AL$165)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$165,"="&amp;CRONO!AC$12,CÁLCULO!$AB$15:$AL$165)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$165,"="&amp;CRONO!AD$12,CÁLCULO!$AB$15:$AL$165)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$165,"="&amp;CRONO!AE$12,CÁLCULO!$AB$15:$AL$165)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1</v>
      </c>
      <c r="C26" s="204">
        <f ca="1">IF($Q26&lt;&gt;2,0,IF($R26=0,1,IF(E27&gt;0,OFFSET(QCI!$N$13,SUBSTITUTE(E27,".",""),0),OFFSET(ORÇAMENTO!$AB$15,CRONO!$E26,0))/$R26))</f>
        <v>0</v>
      </c>
      <c r="D26" s="207">
        <f ca="1">IF(AND($Q26=2,ACOMPANHAMENTO="BM"),D27,D28/$R26)</f>
        <v>0</v>
      </c>
      <c r="E26" s="204">
        <f ca="1">IF(A26&lt;=ORÇAMENTO.MáximoListaCrono,MATCH(A26,ORÇAMENTO.ListaCrono,0),NA())</f>
        <v>13</v>
      </c>
      <c r="F26" s="204" t="str">
        <f t="shared" ref="F26" ca="1" si="32">IF(AND($E27&lt;&gt;-1,$R26&gt;0),"F","")</f>
        <v>F</v>
      </c>
      <c r="G26" s="208">
        <f ca="1">IF(OR(R26=0,R26=""),"Linha",IF(AND(OR(ACOMPANHAMENTO="PLE",$Q26&lt;&gt;2),$E27=0),"Linha",1-SUM(T26:AF26)))</f>
        <v>0</v>
      </c>
      <c r="H26" s="209" t="str">
        <f ca="1">IF($E27=0,OFFSET(ORÇAMENTO!O$15,$E26,0),IF($E27&lt;&gt;-1,OFFSET(QCI!$D$13,$E27,0),""))</f>
        <v>2.1.</v>
      </c>
      <c r="I26" s="210" t="str">
        <f ca="1">IF($E27=0,OFFSET(ORÇAMENTO!R$15,$E26,0),IF($E27&lt;&gt;-1,OFFSET(QCI!$G$13,$E27,0),""))</f>
        <v>SAPATA ISOLADA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IF($E27=-1,0,IF(M$13&lt;=$L26,IF(ISERROR(MATCH(M$13,OFFSET($L26,1,0,ROW($L$113)-ROW($L26)-1),0)),ROW($L$113)-ROW($L26)-1,MATCH(M$13,OFFSET($L26,1,0,ROW($L$113)-ROW($L26)-1),0)-1),0))</f>
        <v>5</v>
      </c>
      <c r="N26" s="212">
        <f ca="1">IF($E27=-1,0,IF(N$13&lt;=$L26,IF(ISERROR(MATCH(N$13,OFFSET($L26,1,0,ROW($L$113)-ROW($L26)-1),0)),ROW($L$113)-ROW($L26)-1,MATCH(N$13,OFFSET($L26,1,0,ROW($L$113)-ROW($L26)-1),0)-1),0))</f>
        <v>2</v>
      </c>
      <c r="O26" s="212">
        <f ca="1">IF($E27=-1,0,IF(O$13&lt;=$L26,IF(ISERROR(MATCH(O$13,OFFSET($L26,1,0,ROW($L$113)-ROW($L26)-1),0)),ROW($L$113)-ROW($L26)-1,MATCH(O$13,OFFSET($L26,1,0,ROW($L$113)-ROW($L26)-1),0)-1),0))</f>
        <v>0</v>
      </c>
      <c r="P26" s="212">
        <f ca="1">IF($E27=-1,0,IF(P$13&lt;=$L26,IF(ISERROR(MATCH(P$13,OFFSET($L26,1,0,ROW($L$113)-ROW($L26)-1),0)),ROW($L$113)-ROW($L26)-1,MATCH(P$13,OFFSET($L26,1,0,ROW($L$113)-ROW($L26)-1),0)-1),0))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12539.72</v>
      </c>
      <c r="S26" s="214" t="s">
        <v>270</v>
      </c>
      <c r="T26" s="215">
        <f t="shared" ref="T26:AE26" ca="1" si="34">IF(AND($Q26=2,ACOMPANHAMENTO="BM"),T27,T28/$R26)</f>
        <v>1</v>
      </c>
      <c r="U26" s="207">
        <f t="shared" ca="1" si="34"/>
        <v>0</v>
      </c>
      <c r="V26" s="207">
        <f t="shared" ca="1" si="34"/>
        <v>0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>F</v>
      </c>
      <c r="G27" s="217" t="str">
        <f ca="1">IF(OR(R26=0,R26=""),"vazia",IF(AND(OR(ACOMPANHAMENTO="PLE",$Q26&lt;&gt;2),$E27=0),"calculada","--&gt;"))</f>
        <v>--&gt;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>
        <v>1</v>
      </c>
      <c r="U27" s="569"/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hidden="1" customHeight="1" x14ac:dyDescent="0.2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$165,"="&amp;CRONO!D$12,CÁLCULO!$AB$15:$AL$165)/(ORÇAMENTO!$X$15-CÁLCULO.TotalAdmLocal)*CRONO!$E28,0),D27*$R26),SUMIF(OFFSET($R28,1,0,$Q26-2),($L26+1)&amp;"$",OFFSET(D28,1,0,$Q26-2)))</f>
        <v>0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$165,"&lt;="&amp;CRONO!T$12,CÁLCULO!$AB$15:$AL$165)/(ORÇAMENTO!$X$15-CÁLCULO.TotalAdmLocal)*CRONO!$E28,0),T27*$R26),SUMIF(OFFSET($R28,1,0,$Q26-2),($L26+1)&amp;"$",OFFSET(T28,1,0,$Q26-2)))</f>
        <v>12539.72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$165,"="&amp;CRONO!U$12,CÁLCULO!$AB$15:$AL$165)/(ORÇAMENTO!$X$15-CÁLCULO.TotalAdmLocal)*CRONO!$E28,0),U27*$R26),SUMIF(OFFSET($R28,1,0,$Q26-2),($L26+1)&amp;"$",OFFSET(U28,1,0,$Q26-2)))</f>
        <v>0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$165,"="&amp;CRONO!V$12,CÁLCULO!$AB$15:$AL$165)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$165,"="&amp;CRONO!W$12,CÁLCULO!$AB$15:$AL$165)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$165,"="&amp;CRONO!X$12,CÁLCULO!$AB$15:$AL$165)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$165,"="&amp;CRONO!Y$12,CÁLCULO!$AB$15:$AL$165)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$165,"="&amp;CRONO!Z$12,CÁLCULO!$AB$15:$AL$165)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$165,"="&amp;CRONO!AA$12,CÁLCULO!$AB$15:$AL$165)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$165,"="&amp;CRONO!AB$12,CÁLCULO!$AB$15:$AL$165)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$165,"="&amp;CRONO!AC$12,CÁLCULO!$AB$15:$AL$165)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$165,"="&amp;CRONO!AD$12,CÁLCULO!$AB$15:$AL$165)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$165,"="&amp;CRONO!AE$12,CÁLCULO!$AB$15:$AL$165)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</v>
      </c>
      <c r="C29" s="204">
        <f ca="1">IF($Q29&lt;&gt;2,0,IF($R29=0,1,IF(E30&gt;0,OFFSET(QCI!$N$13,SUBSTITUTE(E30,".",""),0),OFFSET(ORÇAMENTO!$AB$15,CRONO!$E29,0))/$R29))</f>
        <v>0</v>
      </c>
      <c r="D29" s="207">
        <f ca="1">IF(AND($Q29=2,ACOMPANHAMENTO="BM"),D30,D31/$R29)</f>
        <v>0</v>
      </c>
      <c r="E29" s="204">
        <f ca="1">IF(A29&lt;=ORÇAMENTO.MáximoListaCrono,MATCH(A29,ORÇAMENTO.ListaCrono,0),NA())</f>
        <v>18</v>
      </c>
      <c r="F29" s="204" t="str">
        <f t="shared" ref="F29" ca="1" si="39">IF(AND($E30&lt;&gt;-1,$R29&gt;0),"F","")</f>
        <v>F</v>
      </c>
      <c r="G29" s="208">
        <f ca="1">IF(OR(R29=0,R29=""),"Linha",IF(AND(OR(ACOMPANHAMENTO="PLE",$Q29&lt;&gt;2),$E30=0),"Linha",1-SUM(T29:AF29)))</f>
        <v>0</v>
      </c>
      <c r="H29" s="209" t="str">
        <f ca="1">IF($E30=0,OFFSET(ORÇAMENTO!O$15,$E29,0),IF($E30&lt;&gt;-1,OFFSET(QCI!$D$13,$E30,0),""))</f>
        <v>2.2.</v>
      </c>
      <c r="I29" s="210" t="str">
        <f ca="1">IF($E30=0,OFFSET(ORÇAMENTO!R$15,$E29,0),IF($E30&lt;&gt;-1,OFFSET(QCI!$G$13,$E30,0),""))</f>
        <v>VIGA BALDRAME</v>
      </c>
      <c r="J29" s="210"/>
      <c r="K29" s="210"/>
      <c r="L29" s="211">
        <f ca="1">IF($E30=0,OFFSET(ORÇAMENTO!C$15,$E29,0),1)</f>
        <v>2</v>
      </c>
      <c r="M29" s="212">
        <f ca="1">IF($E30=-1,0,IF(M$13&lt;=$L29,IF(ISERROR(MATCH(M$13,OFFSET($L29,1,0,ROW($L$113)-ROW($L29)-1),0)),ROW($L$113)-ROW($L29)-1,MATCH(M$13,OFFSET($L29,1,0,ROW($L$113)-ROW($L29)-1),0)-1),0))</f>
        <v>2</v>
      </c>
      <c r="N29" s="212">
        <f ca="1">IF($E30=-1,0,IF(N$13&lt;=$L29,IF(ISERROR(MATCH(N$13,OFFSET($L29,1,0,ROW($L$113)-ROW($L29)-1),0)),ROW($L$113)-ROW($L29)-1,MATCH(N$13,OFFSET($L29,1,0,ROW($L$113)-ROW($L29)-1),0)-1),0))</f>
        <v>5</v>
      </c>
      <c r="O29" s="212">
        <f ca="1">IF($E30=-1,0,IF(O$13&lt;=$L29,IF(ISERROR(MATCH(O$13,OFFSET($L29,1,0,ROW($L$113)-ROW($L29)-1),0)),ROW($L$113)-ROW($L29)-1,MATCH(O$13,OFFSET($L29,1,0,ROW($L$113)-ROW($L29)-1),0)-1),0))</f>
        <v>0</v>
      </c>
      <c r="P29" s="212">
        <f ca="1">IF($E30=-1,0,IF(P$13&lt;=$L29,IF(ISERROR(MATCH(P$13,OFFSET($L29,1,0,ROW($L$113)-ROW($L29)-1),0)),ROW($L$113)-ROW($L29)-1,MATCH(P$13,OFFSET($L29,1,0,ROW($L$113)-ROW($L29)-1),0)-1),0))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17011.82</v>
      </c>
      <c r="S29" s="214" t="s">
        <v>270</v>
      </c>
      <c r="T29" s="215">
        <f t="shared" ref="T29:AE29" ca="1" si="41">IF(AND($Q29=2,ACOMPANHAMENTO="BM"),T30,T31/$R29)</f>
        <v>1</v>
      </c>
      <c r="U29" s="207">
        <f t="shared" ca="1" si="41"/>
        <v>0</v>
      </c>
      <c r="V29" s="207">
        <f t="shared" ca="1" si="41"/>
        <v>0</v>
      </c>
      <c r="W29" s="207">
        <f t="shared" ca="1" si="41"/>
        <v>0</v>
      </c>
      <c r="X29" s="207">
        <f t="shared" ca="1" si="41"/>
        <v>0</v>
      </c>
      <c r="Y29" s="207">
        <f t="shared" ca="1" si="41"/>
        <v>0</v>
      </c>
      <c r="Z29" s="207">
        <f t="shared" ca="1" si="41"/>
        <v>0</v>
      </c>
      <c r="AA29" s="207">
        <f t="shared" ca="1" si="41"/>
        <v>0</v>
      </c>
      <c r="AB29" s="207">
        <f t="shared" ca="1" si="41"/>
        <v>0</v>
      </c>
      <c r="AC29" s="207">
        <f t="shared" ca="1" si="41"/>
        <v>0</v>
      </c>
      <c r="AD29" s="207">
        <f t="shared" ca="1" si="41"/>
        <v>0</v>
      </c>
      <c r="AE29" s="216">
        <f t="shared" ca="1" si="41"/>
        <v>0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0</v>
      </c>
      <c r="F30" s="204" t="str">
        <f t="shared" ref="F30" ca="1" si="42">IF(AND($E30&lt;&gt;-1,$R29&gt;0),"F","")</f>
        <v>F</v>
      </c>
      <c r="G30" s="217" t="str">
        <f ca="1">IF(OR(R29=0,R29=""),"vazia",IF(AND(OR(ACOMPANHAMENTO="PLE",$Q29&lt;&gt;2),$E30=0),"calculada","--&gt;"))</f>
        <v>--&gt;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>
        <v>1</v>
      </c>
      <c r="U30" s="569"/>
      <c r="V30" s="569"/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hidden="1" customHeight="1" x14ac:dyDescent="0.2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$165,"="&amp;CRONO!D$12,CÁLCULO!$AB$15:$AL$165)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2$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$165,"&lt;="&amp;CRONO!T$12,CÁLCULO!$AB$15:$AL$165)/(ORÇAMENTO!$X$15-CÁLCULO.TotalAdmLocal)*CRONO!$E31,0),T30*$R29),SUMIF(OFFSET($R31,1,0,$Q29-2),($L29+1)&amp;"$",OFFSET(T31,1,0,$Q29-2)))</f>
        <v>17011.82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$165,"="&amp;CRONO!U$12,CÁLCULO!$AB$15:$AL$165)/(ORÇAMENTO!$X$15-CÁLCULO.TotalAdmLocal)*CRONO!$E31,0),U30*$R29),SUMIF(OFFSET($R31,1,0,$Q29-2),($L29+1)&amp;"$",OFFSET(U31,1,0,$Q29-2)))</f>
        <v>0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$165,"="&amp;CRONO!V$12,CÁLCULO!$AB$15:$AL$165)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$165,"="&amp;CRONO!W$12,CÁLCULO!$AB$15:$AL$165)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$165,"="&amp;CRONO!X$12,CÁLCULO!$AB$15:$AL$165)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$165,"="&amp;CRONO!Y$12,CÁLCULO!$AB$15:$AL$165)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$165,"="&amp;CRONO!Z$12,CÁLCULO!$AB$15:$AL$165)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$165,"="&amp;CRONO!AA$12,CÁLCULO!$AB$15:$AL$165)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$165,"="&amp;CRONO!AB$12,CÁLCULO!$AB$15:$AL$165)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$165,"="&amp;CRONO!AC$12,CÁLCULO!$AB$15:$AL$165)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$165,"="&amp;CRONO!AD$12,CÁLCULO!$AB$15:$AL$165)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$165,"="&amp;CRONO!AE$12,CÁLCULO!$AB$15:$AL$165)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0</v>
      </c>
      <c r="C32" s="204">
        <f ca="1">IF($Q32&lt;&gt;2,0,IF($R32=0,1,IF(E33&gt;0,OFFSET(QCI!$N$13,SUBSTITUTE(E33,".",""),0),OFFSET(ORÇAMENTO!$AB$15,CRONO!$E32,0))/$R32))</f>
        <v>0</v>
      </c>
      <c r="D32" s="207">
        <f ca="1">IF(AND($Q32=2,ACOMPANHAMENTO="BM"),D33,D34/$R32)</f>
        <v>0</v>
      </c>
      <c r="E32" s="204">
        <f ca="1">IF(A32&lt;=ORÇAMENTO.MáximoListaCrono,MATCH(A32,ORÇAMENTO.ListaCrono,0),NA())</f>
        <v>25</v>
      </c>
      <c r="F32" s="204" t="str">
        <f t="shared" ref="F32" ca="1" si="46">IF(AND($E33&lt;&gt;-1,$R32&gt;0),"F","")</f>
        <v>F</v>
      </c>
      <c r="G32" s="208" t="str">
        <f ca="1">IF(OR(R32=0,R32=""),"Linha",IF(AND(OR(ACOMPANHAMENTO="PLE",$Q32&lt;&gt;2),$E33=0),"Linha",1-SUM(T32:AF32)))</f>
        <v>Linha</v>
      </c>
      <c r="H32" s="209" t="str">
        <f ca="1">IF($E33=0,OFFSET(ORÇAMENTO!O$15,$E32,0),IF($E33&lt;&gt;-1,OFFSET(QCI!$D$13,$E33,0),""))</f>
        <v>3.</v>
      </c>
      <c r="I32" s="210" t="str">
        <f ca="1">IF($E33=0,OFFSET(ORÇAMENTO!R$15,$E32,0),IF($E33&lt;&gt;-1,OFFSET(QCI!$G$13,$E33,0),""))</f>
        <v xml:space="preserve">SUPRAESTRUTURA </v>
      </c>
      <c r="J32" s="210"/>
      <c r="K32" s="210"/>
      <c r="L32" s="211">
        <f ca="1">IF($E33=0,OFFSET(ORÇAMENTO!C$15,$E32,0),1)</f>
        <v>1</v>
      </c>
      <c r="M32" s="212">
        <f ca="1">IF($E33=-1,0,IF(M$13&lt;=$L32,IF(ISERROR(MATCH(M$13,OFFSET($L32,1,0,ROW($L$113)-ROW($L32)-1),0)),ROW($L$113)-ROW($L32)-1,MATCH(M$13,OFFSET($L32,1,0,ROW($L$113)-ROW($L32)-1),0)-1),0))</f>
        <v>8</v>
      </c>
      <c r="N32" s="212">
        <f ca="1">IF($E33=-1,0,IF(N$13&lt;=$L32,IF(ISERROR(MATCH(N$13,OFFSET($L32,1,0,ROW($L$113)-ROW($L32)-1),0)),ROW($L$113)-ROW($L32)-1,MATCH(N$13,OFFSET($L32,1,0,ROW($L$113)-ROW($L32)-1),0)-1),0))</f>
        <v>0</v>
      </c>
      <c r="O32" s="212">
        <f ca="1">IF($E33=-1,0,IF(O$13&lt;=$L32,IF(ISERROR(MATCH(O$13,OFFSET($L32,1,0,ROW($L$113)-ROW($L32)-1),0)),ROW($L$113)-ROW($L32)-1,MATCH(O$13,OFFSET($L32,1,0,ROW($L$113)-ROW($L32)-1),0)-1),0))</f>
        <v>0</v>
      </c>
      <c r="P32" s="212">
        <f ca="1">IF($E33=-1,0,IF(P$13&lt;=$L32,IF(ISERROR(MATCH(P$13,OFFSET($L32,1,0,ROW($L$113)-ROW($L32)-1),0)),ROW($L$113)-ROW($L32)-1,MATCH(P$13,OFFSET($L32,1,0,ROW($L$113)-ROW($L32)-1),0)-1),0))</f>
        <v>0</v>
      </c>
      <c r="Q32" s="212">
        <f t="shared" ref="Q32" ca="1" si="47">MIN(OFFSET(L32,0,1,,L32))</f>
        <v>8</v>
      </c>
      <c r="R32" s="213">
        <f ca="1">IF($E33=0,OFFSET(ORÇAMENTO!X$15,$E32,0),IF($E33&lt;&gt;-1,OFFSET(QCI!$O$13,$E33,0),""))</f>
        <v>29941.17</v>
      </c>
      <c r="S32" s="214" t="s">
        <v>270</v>
      </c>
      <c r="T32" s="215">
        <f t="shared" ref="T32:AE32" ca="1" si="48">IF(AND($Q32=2,ACOMPANHAMENTO="BM"),T33,T34/$R32)</f>
        <v>5.5570941282521699E-2</v>
      </c>
      <c r="U32" s="207">
        <f t="shared" ca="1" si="48"/>
        <v>0.46671282384756507</v>
      </c>
      <c r="V32" s="207">
        <f t="shared" ca="1" si="48"/>
        <v>0.47771623486991321</v>
      </c>
      <c r="W32" s="207">
        <f t="shared" ca="1" si="48"/>
        <v>0</v>
      </c>
      <c r="X32" s="207">
        <f t="shared" ca="1" si="48"/>
        <v>0</v>
      </c>
      <c r="Y32" s="207">
        <f t="shared" ca="1" si="48"/>
        <v>0</v>
      </c>
      <c r="Z32" s="207">
        <f t="shared" ca="1" si="48"/>
        <v>0</v>
      </c>
      <c r="AA32" s="207">
        <f t="shared" ca="1" si="48"/>
        <v>0</v>
      </c>
      <c r="AB32" s="207">
        <f t="shared" ca="1" si="48"/>
        <v>0</v>
      </c>
      <c r="AC32" s="207">
        <f t="shared" ca="1" si="48"/>
        <v>0</v>
      </c>
      <c r="AD32" s="207">
        <f t="shared" ca="1" si="48"/>
        <v>0</v>
      </c>
      <c r="AE32" s="216">
        <f t="shared" ca="1" si="48"/>
        <v>0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0</v>
      </c>
      <c r="F33" s="204" t="str">
        <f t="shared" ref="F33" ca="1" si="49">IF(AND($E33&lt;&gt;-1,$R32&gt;0),"F","")</f>
        <v>F</v>
      </c>
      <c r="G33" s="217" t="str">
        <f ca="1">IF(OR(R32=0,R32=""),"vazia",IF(AND(OR(ACOMPANHAMENTO="PLE",$Q32&lt;&gt;2),$E33=0),"calculada","--&gt;"))</f>
        <v>calculada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/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2" hidden="1" customHeight="1" x14ac:dyDescent="0.2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$165,"="&amp;CRONO!D$12,CÁLCULO!$AB$15:$AL$165)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1$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$165,"&lt;="&amp;CRONO!T$12,CÁLCULO!$AB$15:$AL$165)/(ORÇAMENTO!$X$15-CÁLCULO.TotalAdmLocal)*CRONO!$E34,0),T33*$R32),SUMIF(OFFSET($R34,1,0,$Q32-2),($L32+1)&amp;"$",OFFSET(T34,1,0,$Q32-2)))</f>
        <v>1663.8590000000002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$165,"="&amp;CRONO!U$12,CÁLCULO!$AB$15:$AL$165)/(ORÇAMENTO!$X$15-CÁLCULO.TotalAdmLocal)*CRONO!$E34,0),U33*$R32),SUMIF(OFFSET($R34,1,0,$Q32-2),($L32+1)&amp;"$",OFFSET(U34,1,0,$Q32-2)))</f>
        <v>13973.928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$165,"="&amp;CRONO!V$12,CÁLCULO!$AB$15:$AL$165)/(ORÇAMENTO!$X$15-CÁLCULO.TotalAdmLocal)*CRONO!$E34,0),V33*$R32),SUMIF(OFFSET($R34,1,0,$Q32-2),($L32+1)&amp;"$",OFFSET(V34,1,0,$Q32-2)))</f>
        <v>14303.382999999998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$165,"="&amp;CRONO!W$12,CÁLCULO!$AB$15:$AL$165)/(ORÇAMENTO!$X$15-CÁLCULO.TotalAdmLocal)*CRONO!$E34,0),W33*$R32),SUMIF(OFFSET($R34,1,0,$Q32-2),($L32+1)&amp;"$",OFFSET(W34,1,0,$Q32-2)))</f>
        <v>0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$165,"="&amp;CRONO!X$12,CÁLCULO!$AB$15:$AL$165)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$165,"="&amp;CRONO!Y$12,CÁLCULO!$AB$15:$AL$165)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$165,"="&amp;CRONO!Z$12,CÁLCULO!$AB$15:$AL$165)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$165,"="&amp;CRONO!AA$12,CÁLCULO!$AB$15:$AL$165)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$165,"="&amp;CRONO!AB$12,CÁLCULO!$AB$15:$AL$165)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$165,"="&amp;CRONO!AC$12,CÁLCULO!$AB$15:$AL$165)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$165,"="&amp;CRONO!AD$12,CÁLCULO!$AB$15:$AL$165)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$165,"="&amp;CRONO!AE$12,CÁLCULO!$AB$15:$AL$165)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1</v>
      </c>
      <c r="C35" s="204">
        <f ca="1">IF($Q35&lt;&gt;2,0,IF($R35=0,1,IF(E36&gt;0,OFFSET(QCI!$N$13,SUBSTITUTE(E36,".",""),0),OFFSET(ORÇAMENTO!$AB$15,CRONO!$E35,0))/$R35))</f>
        <v>0</v>
      </c>
      <c r="D35" s="207">
        <f ca="1">IF(AND($Q35=2,ACOMPANHAMENTO="BM"),D36,D37/$R35)</f>
        <v>0</v>
      </c>
      <c r="E35" s="204">
        <f ca="1">IF(A35&lt;=ORÇAMENTO.MáximoListaCrono,MATCH(A35,ORÇAMENTO.ListaCrono,0),NA())</f>
        <v>26</v>
      </c>
      <c r="F35" s="204" t="str">
        <f t="shared" ref="F35" ca="1" si="53">IF(AND($E36&lt;&gt;-1,$R35&gt;0),"F","")</f>
        <v>F</v>
      </c>
      <c r="G35" s="208">
        <f ca="1">IF(OR(R35=0,R35=""),"Linha",IF(AND(OR(ACOMPANHAMENTO="PLE",$Q35&lt;&gt;2),$E36=0),"Linha",1-SUM(T35:AF35)))</f>
        <v>0</v>
      </c>
      <c r="H35" s="209" t="str">
        <f ca="1">IF($E36=0,OFFSET(ORÇAMENTO!O$15,$E35,0),IF($E36&lt;&gt;-1,OFFSET(QCI!$D$13,$E36,0),""))</f>
        <v>3.1.</v>
      </c>
      <c r="I35" s="210" t="str">
        <f ca="1">IF($E36=0,OFFSET(ORÇAMENTO!R$15,$E35,0),IF($E36&lt;&gt;-1,OFFSET(QCI!$G$13,$E36,0),""))</f>
        <v xml:space="preserve">PILARES </v>
      </c>
      <c r="J35" s="210"/>
      <c r="K35" s="210"/>
      <c r="L35" s="211">
        <f ca="1">IF($E36=0,OFFSET(ORÇAMENTO!C$15,$E35,0),1)</f>
        <v>2</v>
      </c>
      <c r="M35" s="212">
        <f ca="1">IF($E36=-1,0,IF(M$13&lt;=$L35,IF(ISERROR(MATCH(M$13,OFFSET($L35,1,0,ROW($L$113)-ROW($L35)-1),0)),ROW($L$113)-ROW($L35)-1,MATCH(M$13,OFFSET($L35,1,0,ROW($L$113)-ROW($L35)-1),0)-1),0))</f>
        <v>5</v>
      </c>
      <c r="N35" s="212">
        <f ca="1">IF($E36=-1,0,IF(N$13&lt;=$L35,IF(ISERROR(MATCH(N$13,OFFSET($L35,1,0,ROW($L$113)-ROW($L35)-1),0)),ROW($L$113)-ROW($L35)-1,MATCH(N$13,OFFSET($L35,1,0,ROW($L$113)-ROW($L35)-1),0)-1),0))</f>
        <v>2</v>
      </c>
      <c r="O35" s="212">
        <f ca="1">IF($E36=-1,0,IF(O$13&lt;=$L35,IF(ISERROR(MATCH(O$13,OFFSET($L35,1,0,ROW($L$113)-ROW($L35)-1),0)),ROW($L$113)-ROW($L35)-1,MATCH(O$13,OFFSET($L35,1,0,ROW($L$113)-ROW($L35)-1),0)-1),0))</f>
        <v>0</v>
      </c>
      <c r="P35" s="212">
        <f ca="1">IF($E36=-1,0,IF(P$13&lt;=$L35,IF(ISERROR(MATCH(P$13,OFFSET($L35,1,0,ROW($L$113)-ROW($L35)-1),0)),ROW($L$113)-ROW($L35)-1,MATCH(P$13,OFFSET($L35,1,0,ROW($L$113)-ROW($L35)-1),0)-1),0))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16638.59</v>
      </c>
      <c r="S35" s="214" t="s">
        <v>270</v>
      </c>
      <c r="T35" s="215">
        <f t="shared" ref="T35:AE35" ca="1" si="55">IF(AND($Q35=2,ACOMPANHAMENTO="BM"),T36,T37/$R35)</f>
        <v>0.1</v>
      </c>
      <c r="U35" s="207">
        <f t="shared" ca="1" si="55"/>
        <v>0.6</v>
      </c>
      <c r="V35" s="207">
        <f t="shared" ca="1" si="55"/>
        <v>0.3</v>
      </c>
      <c r="W35" s="207">
        <f t="shared" ca="1" si="55"/>
        <v>0</v>
      </c>
      <c r="X35" s="207">
        <f t="shared" ca="1" si="55"/>
        <v>0</v>
      </c>
      <c r="Y35" s="207">
        <f t="shared" ca="1" si="55"/>
        <v>0</v>
      </c>
      <c r="Z35" s="207">
        <f t="shared" ca="1" si="55"/>
        <v>0</v>
      </c>
      <c r="AA35" s="207">
        <f t="shared" ca="1" si="55"/>
        <v>0</v>
      </c>
      <c r="AB35" s="207">
        <f t="shared" ca="1" si="55"/>
        <v>0</v>
      </c>
      <c r="AC35" s="207">
        <f t="shared" ca="1" si="55"/>
        <v>0</v>
      </c>
      <c r="AD35" s="207">
        <f t="shared" ca="1" si="55"/>
        <v>0</v>
      </c>
      <c r="AE35" s="216">
        <f t="shared" ca="1" si="55"/>
        <v>0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0</v>
      </c>
      <c r="F36" s="204" t="str">
        <f t="shared" ref="F36" ca="1" si="56">IF(AND($E36&lt;&gt;-1,$R35&gt;0),"F","")</f>
        <v>F</v>
      </c>
      <c r="G36" s="217" t="str">
        <f ca="1">IF(OR(R35=0,R35=""),"vazia",IF(AND(OR(ACOMPANHAMENTO="PLE",$Q35&lt;&gt;2),$E36=0),"calculada","--&gt;"))</f>
        <v>--&gt;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>
        <v>0.1</v>
      </c>
      <c r="U36" s="569">
        <v>0.6</v>
      </c>
      <c r="V36" s="569">
        <v>0.3</v>
      </c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hidden="1" customHeight="1" x14ac:dyDescent="0.2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$165,"="&amp;CRONO!D$12,CÁLCULO!$AB$15:$AL$165)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2$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$165,"&lt;="&amp;CRONO!T$12,CÁLCULO!$AB$15:$AL$165)/(ORÇAMENTO!$X$15-CÁLCULO.TotalAdmLocal)*CRONO!$E37,0),T36*$R35),SUMIF(OFFSET($R37,1,0,$Q35-2),($L35+1)&amp;"$",OFFSET(T37,1,0,$Q35-2)))</f>
        <v>1663.8590000000002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$165,"="&amp;CRONO!U$12,CÁLCULO!$AB$15:$AL$165)/(ORÇAMENTO!$X$15-CÁLCULO.TotalAdmLocal)*CRONO!$E37,0),U36*$R35),SUMIF(OFFSET($R37,1,0,$Q35-2),($L35+1)&amp;"$",OFFSET(U37,1,0,$Q35-2)))</f>
        <v>9983.1540000000005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$165,"="&amp;CRONO!V$12,CÁLCULO!$AB$15:$AL$165)/(ORÇAMENTO!$X$15-CÁLCULO.TotalAdmLocal)*CRONO!$E37,0),V36*$R35),SUMIF(OFFSET($R37,1,0,$Q35-2),($L35+1)&amp;"$",OFFSET(V37,1,0,$Q35-2)))</f>
        <v>4991.5770000000002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$165,"="&amp;CRONO!W$12,CÁLCULO!$AB$15:$AL$165)/(ORÇAMENTO!$X$15-CÁLCULO.TotalAdmLocal)*CRONO!$E37,0),W36*$R35),SUMIF(OFFSET($R37,1,0,$Q35-2),($L35+1)&amp;"$",OFFSET(W37,1,0,$Q35-2)))</f>
        <v>0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$165,"="&amp;CRONO!X$12,CÁLCULO!$AB$15:$AL$165)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$165,"="&amp;CRONO!Y$12,CÁLCULO!$AB$15:$AL$165)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$165,"="&amp;CRONO!Z$12,CÁLCULO!$AB$15:$AL$165)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$165,"="&amp;CRONO!AA$12,CÁLCULO!$AB$15:$AL$165)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$165,"="&amp;CRONO!AB$12,CÁLCULO!$AB$15:$AL$165)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$165,"="&amp;CRONO!AC$12,CÁLCULO!$AB$15:$AL$165)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$165,"="&amp;CRONO!AD$12,CÁLCULO!$AB$15:$AL$165)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$165,"="&amp;CRONO!AE$12,CÁLCULO!$AB$15:$AL$165)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1.0000000000000002</v>
      </c>
      <c r="C38" s="204">
        <f ca="1">IF($Q38&lt;&gt;2,0,IF($R38=0,1,IF(E39&gt;0,OFFSET(QCI!$N$13,SUBSTITUTE(E39,".",""),0),OFFSET(ORÇAMENTO!$AB$15,CRONO!$E38,0))/$R38))</f>
        <v>0</v>
      </c>
      <c r="D38" s="207">
        <f ca="1">IF(AND($Q38=2,ACOMPANHAMENTO="BM"),D39,D40/$R38)</f>
        <v>0</v>
      </c>
      <c r="E38" s="204">
        <f ca="1">IF(A38&lt;=ORÇAMENTO.MáximoListaCrono,MATCH(A38,ORÇAMENTO.ListaCrono,0),NA())</f>
        <v>31</v>
      </c>
      <c r="F38" s="204" t="str">
        <f t="shared" ref="F38" ca="1" si="60">IF(AND($E39&lt;&gt;-1,$R38&gt;0),"F","")</f>
        <v>F</v>
      </c>
      <c r="G38" s="208">
        <f ca="1">IF(OR(R38=0,R38=""),"Linha",IF(AND(OR(ACOMPANHAMENTO="PLE",$Q38&lt;&gt;2),$E39=0),"Linha",1-SUM(T38:AF38)))</f>
        <v>0</v>
      </c>
      <c r="H38" s="209" t="str">
        <f ca="1">IF($E39=0,OFFSET(ORÇAMENTO!O$15,$E38,0),IF($E39&lt;&gt;-1,OFFSET(QCI!$D$13,$E39,0),""))</f>
        <v>3.2.</v>
      </c>
      <c r="I38" s="210" t="str">
        <f ca="1">IF($E39=0,OFFSET(ORÇAMENTO!R$15,$E38,0),IF($E39&lt;&gt;-1,OFFSET(QCI!$G$13,$E39,0),""))</f>
        <v>VIGA CINTA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IF($E39=-1,0,IF(M$13&lt;=$L38,IF(ISERROR(MATCH(M$13,OFFSET($L38,1,0,ROW($L$113)-ROW($L38)-1),0)),ROW($L$113)-ROW($L38)-1,MATCH(M$13,OFFSET($L38,1,0,ROW($L$113)-ROW($L38)-1),0)-1),0))</f>
        <v>2</v>
      </c>
      <c r="N38" s="212">
        <f ca="1">IF($E39=-1,0,IF(N$13&lt;=$L38,IF(ISERROR(MATCH(N$13,OFFSET($L38,1,0,ROW($L$113)-ROW($L38)-1),0)),ROW($L$113)-ROW($L38)-1,MATCH(N$13,OFFSET($L38,1,0,ROW($L$113)-ROW($L38)-1),0)-1),0))</f>
        <v>5</v>
      </c>
      <c r="O38" s="212">
        <f ca="1">IF($E39=-1,0,IF(O$13&lt;=$L38,IF(ISERROR(MATCH(O$13,OFFSET($L38,1,0,ROW($L$113)-ROW($L38)-1),0)),ROW($L$113)-ROW($L38)-1,MATCH(O$13,OFFSET($L38,1,0,ROW($L$113)-ROW($L38)-1),0)-1),0))</f>
        <v>0</v>
      </c>
      <c r="P38" s="212">
        <f ca="1">IF($E39=-1,0,IF(P$13&lt;=$L38,IF(ISERROR(MATCH(P$13,OFFSET($L38,1,0,ROW($L$113)-ROW($L38)-1),0)),ROW($L$113)-ROW($L38)-1,MATCH(P$13,OFFSET($L38,1,0,ROW($L$113)-ROW($L38)-1),0)-1),0))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13302.58</v>
      </c>
      <c r="S38" s="214" t="s">
        <v>270</v>
      </c>
      <c r="T38" s="215">
        <f t="shared" ref="T38:AE38" ca="1" si="62">IF(AND($Q38=2,ACOMPANHAMENTO="BM"),T39,T40/$R38)</f>
        <v>0</v>
      </c>
      <c r="U38" s="207">
        <f t="shared" ca="1" si="62"/>
        <v>0.3</v>
      </c>
      <c r="V38" s="207">
        <f t="shared" ca="1" si="62"/>
        <v>0.7</v>
      </c>
      <c r="W38" s="207">
        <f t="shared" ca="1" si="62"/>
        <v>0</v>
      </c>
      <c r="X38" s="207">
        <f t="shared" ca="1" si="62"/>
        <v>0</v>
      </c>
      <c r="Y38" s="207">
        <f t="shared" ca="1" si="62"/>
        <v>0</v>
      </c>
      <c r="Z38" s="207">
        <f t="shared" ca="1" si="62"/>
        <v>0</v>
      </c>
      <c r="AA38" s="207">
        <f t="shared" ca="1" si="62"/>
        <v>0</v>
      </c>
      <c r="AB38" s="207">
        <f t="shared" ca="1" si="62"/>
        <v>0</v>
      </c>
      <c r="AC38" s="207">
        <f t="shared" ca="1" si="62"/>
        <v>0</v>
      </c>
      <c r="AD38" s="207">
        <f t="shared" ca="1" si="62"/>
        <v>0</v>
      </c>
      <c r="AE38" s="216">
        <f t="shared" ca="1" si="62"/>
        <v>0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0</v>
      </c>
      <c r="F39" s="204" t="str">
        <f t="shared" ref="F39" ca="1" si="63">IF(AND($E39&lt;&gt;-1,$R38&gt;0),"F","")</f>
        <v>F</v>
      </c>
      <c r="G39" s="217" t="str">
        <f ca="1">IF(OR(R38=0,R38=""),"vazia",IF(AND(OR(ACOMPANHAMENTO="PLE",$Q38&lt;&gt;2),$E39=0),"calculada","--&gt;"))</f>
        <v>--&gt;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>
        <v>0.3</v>
      </c>
      <c r="V39" s="569">
        <v>0.7</v>
      </c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hidden="1" customHeight="1" x14ac:dyDescent="0.2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$165,"="&amp;CRONO!D$12,CÁLCULO!$AB$15:$AL$165)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$165,"&lt;="&amp;CRONO!T$12,CÁLCULO!$AB$15:$AL$165)/(ORÇAMENTO!$X$15-CÁLCULO.TotalAdmLocal)*CRONO!$E40,0),T39*$R38),SUMIF(OFFSET($R40,1,0,$Q38-2),($L38+1)&amp;"$",OFFSET(T40,1,0,$Q38-2)))</f>
        <v>0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$165,"="&amp;CRONO!U$12,CÁLCULO!$AB$15:$AL$165)/(ORÇAMENTO!$X$15-CÁLCULO.TotalAdmLocal)*CRONO!$E40,0),U39*$R38),SUMIF(OFFSET($R40,1,0,$Q38-2),($L38+1)&amp;"$",OFFSET(U40,1,0,$Q38-2)))</f>
        <v>3990.7739999999999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$165,"="&amp;CRONO!V$12,CÁLCULO!$AB$15:$AL$165)/(ORÇAMENTO!$X$15-CÁLCULO.TotalAdmLocal)*CRONO!$E40,0),V39*$R38),SUMIF(OFFSET($R40,1,0,$Q38-2),($L38+1)&amp;"$",OFFSET(V40,1,0,$Q38-2)))</f>
        <v>9311.8059999999987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$165,"="&amp;CRONO!W$12,CÁLCULO!$AB$15:$AL$165)/(ORÇAMENTO!$X$15-CÁLCULO.TotalAdmLocal)*CRONO!$E40,0),W39*$R38),SUMIF(OFFSET($R40,1,0,$Q38-2),($L38+1)&amp;"$",OFFSET(W40,1,0,$Q38-2)))</f>
        <v>0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$165,"="&amp;CRONO!X$12,CÁLCULO!$AB$15:$AL$165)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$165,"="&amp;CRONO!Y$12,CÁLCULO!$AB$15:$AL$165)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$165,"="&amp;CRONO!Z$12,CÁLCULO!$AB$15:$AL$165)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$165,"="&amp;CRONO!AA$12,CÁLCULO!$AB$15:$AL$165)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$165,"="&amp;CRONO!AB$12,CÁLCULO!$AB$15:$AL$165)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$165,"="&amp;CRONO!AC$12,CÁLCULO!$AB$15:$AL$165)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$165,"="&amp;CRONO!AD$12,CÁLCULO!$AB$15:$AL$165)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$165,"="&amp;CRONO!AE$12,CÁLCULO!$AB$15:$AL$165)/(ORÇAMENTO!$X$15-CÁLCULO.TotalAdmLocal)*CRONO!$E40,0),AE39*$R38),SUMIF(OFFSET($R40,1,0,$Q38-2),($L38+1)&amp;"$",OFFSET(AE40,1,0,$Q38-2)))</f>
        <v>0</v>
      </c>
    </row>
    <row r="41" spans="1:32" x14ac:dyDescent="0.2">
      <c r="A41" s="204">
        <f t="shared" ref="A41" ca="1" si="66">OFFSET(A41,-3,0)+1</f>
        <v>10</v>
      </c>
      <c r="B41" s="204">
        <f ca="1">IF($Q41&lt;&gt;2,0,IF($R41=0,1,IF(E42&gt;0,OFFSET(QCI!$M$13,SUBSTITUTE(E42,".",""),0),OFFSET(ORÇAMENTO!$AA$15,CRONO!$E41,0))/$R41))</f>
        <v>0</v>
      </c>
      <c r="C41" s="204">
        <f ca="1">IF($Q41&lt;&gt;2,0,IF($R41=0,1,IF(E42&gt;0,OFFSET(QCI!$N$13,SUBSTITUTE(E42,".",""),0),OFFSET(ORÇAMENTO!$AB$15,CRONO!$E41,0))/$R41))</f>
        <v>0</v>
      </c>
      <c r="D41" s="207">
        <f ca="1">IF(AND($Q41=2,ACOMPANHAMENTO="BM"),D42,D43/$R41)</f>
        <v>0</v>
      </c>
      <c r="E41" s="204">
        <f ca="1">IF(A41&lt;=ORÇAMENTO.MáximoListaCrono,MATCH(A41,ORÇAMENTO.ListaCrono,0),NA())</f>
        <v>35</v>
      </c>
      <c r="F41" s="204" t="str">
        <f t="shared" ref="F41" ca="1" si="67">IF(AND($E42&lt;&gt;-1,$R41&gt;0),"F","")</f>
        <v>F</v>
      </c>
      <c r="G41" s="208" t="str">
        <f ca="1">IF(OR(R41=0,R41=""),"Linha",IF(AND(OR(ACOMPANHAMENTO="PLE",$Q41&lt;&gt;2),$E42=0),"Linha",1-SUM(T41:AF41)))</f>
        <v>Linha</v>
      </c>
      <c r="H41" s="209" t="str">
        <f ca="1">IF($E42=0,OFFSET(ORÇAMENTO!O$15,$E41,0),IF($E42&lt;&gt;-1,OFFSET(QCI!$D$13,$E42,0),""))</f>
        <v>4.</v>
      </c>
      <c r="I41" s="210" t="str">
        <f ca="1">IF($E42=0,OFFSET(ORÇAMENTO!R$15,$E41,0),IF($E42&lt;&gt;-1,OFFSET(QCI!$G$13,$E42,0),""))</f>
        <v xml:space="preserve">PAREDES E REVESTIMENTOS </v>
      </c>
      <c r="J41" s="210"/>
      <c r="K41" s="210"/>
      <c r="L41" s="211">
        <f ca="1">IF($E42=0,OFFSET(ORÇAMENTO!C$15,$E41,0),1)</f>
        <v>1</v>
      </c>
      <c r="M41" s="212">
        <f ca="1">IF($E42=-1,0,IF(M$13&lt;=$L41,IF(ISERROR(MATCH(M$13,OFFSET($L41,1,0,ROW($L$113)-ROW($L41)-1),0)),ROW($L$113)-ROW($L41)-1,MATCH(M$13,OFFSET($L41,1,0,ROW($L$113)-ROW($L41)-1),0)-1),0))</f>
        <v>14</v>
      </c>
      <c r="N41" s="212">
        <f ca="1">IF($E42=-1,0,IF(N$13&lt;=$L41,IF(ISERROR(MATCH(N$13,OFFSET($L41,1,0,ROW($L$113)-ROW($L41)-1),0)),ROW($L$113)-ROW($L41)-1,MATCH(N$13,OFFSET($L41,1,0,ROW($L$113)-ROW($L41)-1),0)-1),0))</f>
        <v>0</v>
      </c>
      <c r="O41" s="212">
        <f ca="1">IF($E42=-1,0,IF(O$13&lt;=$L41,IF(ISERROR(MATCH(O$13,OFFSET($L41,1,0,ROW($L$113)-ROW($L41)-1),0)),ROW($L$113)-ROW($L41)-1,MATCH(O$13,OFFSET($L41,1,0,ROW($L$113)-ROW($L41)-1),0)-1),0))</f>
        <v>0</v>
      </c>
      <c r="P41" s="212">
        <f ca="1">IF($E42=-1,0,IF(P$13&lt;=$L41,IF(ISERROR(MATCH(P$13,OFFSET($L41,1,0,ROW($L$113)-ROW($L41)-1),0)),ROW($L$113)-ROW($L41)-1,MATCH(P$13,OFFSET($L41,1,0,ROW($L$113)-ROW($L41)-1),0)-1),0))</f>
        <v>0</v>
      </c>
      <c r="Q41" s="212">
        <f t="shared" ref="Q41" ca="1" si="68">MIN(OFFSET(L41,0,1,,L41))</f>
        <v>14</v>
      </c>
      <c r="R41" s="213">
        <f ca="1">IF($E42=0,OFFSET(ORÇAMENTO!X$15,$E41,0),IF($E42&lt;&gt;-1,OFFSET(QCI!$O$13,$E42,0),""))</f>
        <v>104612.68</v>
      </c>
      <c r="S41" s="214" t="s">
        <v>270</v>
      </c>
      <c r="T41" s="215">
        <f t="shared" ref="T41:AE41" ca="1" si="69">IF(AND($Q41=2,ACOMPANHAMENTO="BM"),T42,T43/$R41)</f>
        <v>0.10879493766912388</v>
      </c>
      <c r="U41" s="207">
        <f t="shared" ca="1" si="69"/>
        <v>0.3263848130073716</v>
      </c>
      <c r="V41" s="207">
        <f t="shared" ca="1" si="69"/>
        <v>0.56482024932350461</v>
      </c>
      <c r="W41" s="207">
        <f t="shared" ca="1" si="69"/>
        <v>0</v>
      </c>
      <c r="X41" s="207">
        <f t="shared" ca="1" si="69"/>
        <v>0</v>
      </c>
      <c r="Y41" s="207">
        <f t="shared" ca="1" si="69"/>
        <v>0</v>
      </c>
      <c r="Z41" s="207">
        <f t="shared" ca="1" si="69"/>
        <v>0</v>
      </c>
      <c r="AA41" s="207">
        <f t="shared" ca="1" si="69"/>
        <v>0</v>
      </c>
      <c r="AB41" s="207">
        <f t="shared" ca="1" si="69"/>
        <v>0</v>
      </c>
      <c r="AC41" s="207">
        <f t="shared" ca="1" si="69"/>
        <v>0</v>
      </c>
      <c r="AD41" s="207">
        <f t="shared" ca="1" si="69"/>
        <v>0</v>
      </c>
      <c r="AE41" s="216">
        <f t="shared" ca="1" si="69"/>
        <v>0</v>
      </c>
    </row>
    <row r="42" spans="1:32" ht="12.75" customHeight="1" x14ac:dyDescent="0.2">
      <c r="D42" s="569"/>
      <c r="E42" s="204">
        <f ca="1">IF(ISERROR(E41),IF(1+COUNTIF($L$13:OFFSET(L41,-1,0),1)&lt;=MAX(QCI!$D$13:$D$24),1+COUNTIF($L$13:OFFSET(L41,-1,0),1),-1),0)</f>
        <v>0</v>
      </c>
      <c r="F42" s="204" t="str">
        <f t="shared" ref="F42" ca="1" si="70">IF(AND($E42&lt;&gt;-1,$R41&gt;0),"F","")</f>
        <v>F</v>
      </c>
      <c r="G42" s="217" t="str">
        <f ca="1">IF(OR(R41=0,R41=""),"vazia",IF(AND(OR(ACOMPANHAMENTO="PLE",$Q41&lt;&gt;2),$E42=0),"calculada","--&gt;"))</f>
        <v>calculada</v>
      </c>
      <c r="H42" s="218"/>
      <c r="I42" s="219" t="str">
        <f t="shared" ref="I42" ca="1" si="71">IF(AND(G41&lt;&gt;0,ISNUMBER(G41)),"PREENCHA ESTA LINHA --&gt;","")</f>
        <v/>
      </c>
      <c r="J42" s="219"/>
      <c r="K42" s="219"/>
      <c r="L42" s="220"/>
      <c r="M42" s="220"/>
      <c r="N42" s="220"/>
      <c r="O42" s="220"/>
      <c r="P42" s="220"/>
      <c r="Q42" s="220"/>
      <c r="R42" s="221"/>
      <c r="S42" s="222"/>
      <c r="T42" s="570"/>
      <c r="U42" s="569"/>
      <c r="V42" s="569"/>
      <c r="W42" s="569"/>
      <c r="X42" s="569"/>
      <c r="Y42" s="569"/>
      <c r="Z42" s="569"/>
      <c r="AA42" s="569"/>
      <c r="AB42" s="569"/>
      <c r="AC42" s="569"/>
      <c r="AD42" s="569"/>
      <c r="AE42" s="571"/>
      <c r="AF42" s="533"/>
    </row>
    <row r="43" spans="1:32" ht="0.2" hidden="1" customHeight="1" x14ac:dyDescent="0.2">
      <c r="D43" s="223">
        <f ca="1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$165,"="&amp;CRONO!D$12,CÁLCULO!$AB$15:$AL$165)/(ORÇAMENTO!$X$15-CÁLCULO.TotalAdmLocal)*CRONO!$E43,0),D42*$R41),SUMIF(OFFSET($R43,1,0,$Q41-2),($L41+1)&amp;"$",OFFSET(D43,1,0,$Q41-2)))</f>
        <v>0</v>
      </c>
      <c r="E43" s="20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224"/>
      <c r="R43" s="225" t="str">
        <f t="shared" ref="R43" ca="1" si="72">L41&amp;"$"</f>
        <v>1$</v>
      </c>
      <c r="S43" s="226"/>
      <c r="T43" s="227">
        <f ca="1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$165,"&lt;="&amp;CRONO!T$12,CÁLCULO!$AB$15:$AL$165)/(ORÇAMENTO!$X$15-CÁLCULO.TotalAdmLocal)*CRONO!$E43,0),T42*$R41),SUMIF(OFFSET($R43,1,0,$Q41-2),($L41+1)&amp;"$",OFFSET(T43,1,0,$Q41-2)))</f>
        <v>11381.330000000002</v>
      </c>
      <c r="U43" s="223">
        <f ca="1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$165,"="&amp;CRONO!U$12,CÁLCULO!$AB$15:$AL$165)/(ORÇAMENTO!$X$15-CÁLCULO.TotalAdmLocal)*CRONO!$E43,0),U42*$R41),SUMIF(OFFSET($R43,1,0,$Q41-2),($L41+1)&amp;"$",OFFSET(U43,1,0,$Q41-2)))</f>
        <v>34143.99</v>
      </c>
      <c r="V43" s="223">
        <f ca="1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$165,"="&amp;CRONO!V$12,CÁLCULO!$AB$15:$AL$165)/(ORÇAMENTO!$X$15-CÁLCULO.TotalAdmLocal)*CRONO!$E43,0),V42*$R41),SUMIF(OFFSET($R43,1,0,$Q41-2),($L41+1)&amp;"$",OFFSET(V43,1,0,$Q41-2)))</f>
        <v>59087.360000000001</v>
      </c>
      <c r="W43" s="223">
        <f ca="1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$165,"="&amp;CRONO!W$12,CÁLCULO!$AB$15:$AL$165)/(ORÇAMENTO!$X$15-CÁLCULO.TotalAdmLocal)*CRONO!$E43,0),W42*$R41),SUMIF(OFFSET($R43,1,0,$Q41-2),($L41+1)&amp;"$",OFFSET(W43,1,0,$Q41-2)))</f>
        <v>0</v>
      </c>
      <c r="X43" s="223">
        <f ca="1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$165,"="&amp;CRONO!X$12,CÁLCULO!$AB$15:$AL$165)/(ORÇAMENTO!$X$15-CÁLCULO.TotalAdmLocal)*CRONO!$E43,0),X42*$R41),SUMIF(OFFSET($R43,1,0,$Q41-2),($L41+1)&amp;"$",OFFSET(X43,1,0,$Q41-2)))</f>
        <v>0</v>
      </c>
      <c r="Y43" s="223">
        <f ca="1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$165,"="&amp;CRONO!Y$12,CÁLCULO!$AB$15:$AL$165)/(ORÇAMENTO!$X$15-CÁLCULO.TotalAdmLocal)*CRONO!$E43,0),Y42*$R41),SUMIF(OFFSET($R43,1,0,$Q41-2),($L41+1)&amp;"$",OFFSET(Y43,1,0,$Q41-2)))</f>
        <v>0</v>
      </c>
      <c r="Z43" s="223">
        <f ca="1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$165,"="&amp;CRONO!Z$12,CÁLCULO!$AB$15:$AL$165)/(ORÇAMENTO!$X$15-CÁLCULO.TotalAdmLocal)*CRONO!$E43,0),Z42*$R41),SUMIF(OFFSET($R43,1,0,$Q41-2),($L41+1)&amp;"$",OFFSET(Z43,1,0,$Q41-2)))</f>
        <v>0</v>
      </c>
      <c r="AA43" s="223">
        <f ca="1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$165,"="&amp;CRONO!AA$12,CÁLCULO!$AB$15:$AL$165)/(ORÇAMENTO!$X$15-CÁLCULO.TotalAdmLocal)*CRONO!$E43,0),AA42*$R41),SUMIF(OFFSET($R43,1,0,$Q41-2),($L41+1)&amp;"$",OFFSET(AA43,1,0,$Q41-2)))</f>
        <v>0</v>
      </c>
      <c r="AB43" s="223">
        <f ca="1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$165,"="&amp;CRONO!AB$12,CÁLCULO!$AB$15:$AL$165)/(ORÇAMENTO!$X$15-CÁLCULO.TotalAdmLocal)*CRONO!$E43,0),AB42*$R41),SUMIF(OFFSET($R43,1,0,$Q41-2),($L41+1)&amp;"$",OFFSET(AB43,1,0,$Q41-2)))</f>
        <v>0</v>
      </c>
      <c r="AC43" s="223">
        <f ca="1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$165,"="&amp;CRONO!AC$12,CÁLCULO!$AB$15:$AL$165)/(ORÇAMENTO!$X$15-CÁLCULO.TotalAdmLocal)*CRONO!$E43,0),AC42*$R41),SUMIF(OFFSET($R43,1,0,$Q41-2),($L41+1)&amp;"$",OFFSET(AC43,1,0,$Q41-2)))</f>
        <v>0</v>
      </c>
      <c r="AD43" s="223">
        <f ca="1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$165,"="&amp;CRONO!AD$12,CÁLCULO!$AB$15:$AL$165)/(ORÇAMENTO!$X$15-CÁLCULO.TotalAdmLocal)*CRONO!$E43,0),AD42*$R41),SUMIF(OFFSET($R43,1,0,$Q41-2),($L41+1)&amp;"$",OFFSET(AD43,1,0,$Q41-2)))</f>
        <v>0</v>
      </c>
      <c r="AE43" s="228">
        <f ca="1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$165,"="&amp;CRONO!AE$12,CÁLCULO!$AB$15:$AL$165)/(ORÇAMENTO!$X$15-CÁLCULO.TotalAdmLocal)*CRONO!$E43,0),AE42*$R41),SUMIF(OFFSET($R43,1,0,$Q41-2),($L41+1)&amp;"$",OFFSET(AE43,1,0,$Q41-2)))</f>
        <v>0</v>
      </c>
    </row>
    <row r="44" spans="1:32" x14ac:dyDescent="0.2">
      <c r="A44" s="204">
        <f t="shared" ref="A44" ca="1" si="73">OFFSET(A44,-3,0)+1</f>
        <v>11</v>
      </c>
      <c r="B44" s="204">
        <f ca="1">IF($Q44&lt;&gt;2,0,IF($R44=0,1,IF(E45&gt;0,OFFSET(QCI!$M$13,SUBSTITUTE(E45,".",""),0),OFFSET(ORÇAMENTO!$AA$15,CRONO!$E44,0))/$R44))</f>
        <v>1.0000000000000002</v>
      </c>
      <c r="C44" s="204">
        <f ca="1">IF($Q44&lt;&gt;2,0,IF($R44=0,1,IF(E45&gt;0,OFFSET(QCI!$N$13,SUBSTITUTE(E45,".",""),0),OFFSET(ORÇAMENTO!$AB$15,CRONO!$E44,0))/$R44))</f>
        <v>0</v>
      </c>
      <c r="D44" s="207">
        <f ca="1">IF(AND($Q44=2,ACOMPANHAMENTO="BM"),D45,D46/$R44)</f>
        <v>0</v>
      </c>
      <c r="E44" s="204">
        <f ca="1">IF(A44&lt;=ORÇAMENTO.MáximoListaCrono,MATCH(A44,ORÇAMENTO.ListaCrono,0),NA())</f>
        <v>36</v>
      </c>
      <c r="F44" s="204" t="str">
        <f t="shared" ref="F44" ca="1" si="74">IF(AND($E45&lt;&gt;-1,$R44&gt;0),"F","")</f>
        <v>F</v>
      </c>
      <c r="G44" s="208">
        <f ca="1">IF(OR(R44=0,R44=""),"Linha",IF(AND(OR(ACOMPANHAMENTO="PLE",$Q44&lt;&gt;2),$E45=0),"Linha",1-SUM(T44:AF44)))</f>
        <v>0</v>
      </c>
      <c r="H44" s="209" t="str">
        <f ca="1">IF($E45=0,OFFSET(ORÇAMENTO!O$15,$E44,0),IF($E45&lt;&gt;-1,OFFSET(QCI!$D$13,$E45,0),""))</f>
        <v>4.1.</v>
      </c>
      <c r="I44" s="210" t="str">
        <f ca="1">IF($E45=0,OFFSET(ORÇAMENTO!R$15,$E44,0),IF($E45&lt;&gt;-1,OFFSET(QCI!$G$13,$E45,0),""))</f>
        <v>ALVENARIA</v>
      </c>
      <c r="J44" s="210"/>
      <c r="K44" s="210"/>
      <c r="L44" s="211">
        <f ca="1">IF($E45=0,OFFSET(ORÇAMENTO!C$15,$E44,0),1)</f>
        <v>2</v>
      </c>
      <c r="M44" s="212">
        <f ca="1">IF($E45=-1,0,IF(M$13&lt;=$L44,IF(ISERROR(MATCH(M$13,OFFSET($L44,1,0,ROW($L$113)-ROW($L44)-1),0)),ROW($L$113)-ROW($L44)-1,MATCH(M$13,OFFSET($L44,1,0,ROW($L$113)-ROW($L44)-1),0)-1),0))</f>
        <v>11</v>
      </c>
      <c r="N44" s="212">
        <f ca="1">IF($E45=-1,0,IF(N$13&lt;=$L44,IF(ISERROR(MATCH(N$13,OFFSET($L44,1,0,ROW($L$113)-ROW($L44)-1),0)),ROW($L$113)-ROW($L44)-1,MATCH(N$13,OFFSET($L44,1,0,ROW($L$113)-ROW($L44)-1),0)-1),0))</f>
        <v>2</v>
      </c>
      <c r="O44" s="212">
        <f ca="1">IF($E45=-1,0,IF(O$13&lt;=$L44,IF(ISERROR(MATCH(O$13,OFFSET($L44,1,0,ROW($L$113)-ROW($L44)-1),0)),ROW($L$113)-ROW($L44)-1,MATCH(O$13,OFFSET($L44,1,0,ROW($L$113)-ROW($L44)-1),0)-1),0))</f>
        <v>0</v>
      </c>
      <c r="P44" s="212">
        <f ca="1">IF($E45=-1,0,IF(P$13&lt;=$L44,IF(ISERROR(MATCH(P$13,OFFSET($L44,1,0,ROW($L$113)-ROW($L44)-1),0)),ROW($L$113)-ROW($L44)-1,MATCH(P$13,OFFSET($L44,1,0,ROW($L$113)-ROW($L44)-1),0)-1),0))</f>
        <v>0</v>
      </c>
      <c r="Q44" s="212">
        <f t="shared" ref="Q44" ca="1" si="75">MIN(OFFSET(L44,0,1,,L44))</f>
        <v>2</v>
      </c>
      <c r="R44" s="213">
        <f ca="1">IF($E45=0,OFFSET(ORÇAMENTO!X$15,$E44,0),IF($E45&lt;&gt;-1,OFFSET(QCI!$O$13,$E45,0),""))</f>
        <v>56906.65</v>
      </c>
      <c r="S44" s="214" t="s">
        <v>270</v>
      </c>
      <c r="T44" s="215">
        <f t="shared" ref="T44:AE44" ca="1" si="76">IF(AND($Q44=2,ACOMPANHAMENTO="BM"),T45,T46/$R44)</f>
        <v>0.2</v>
      </c>
      <c r="U44" s="207">
        <f t="shared" ca="1" si="76"/>
        <v>0.6</v>
      </c>
      <c r="V44" s="207">
        <f t="shared" ca="1" si="76"/>
        <v>0.2</v>
      </c>
      <c r="W44" s="207">
        <f t="shared" ca="1" si="76"/>
        <v>0</v>
      </c>
      <c r="X44" s="207">
        <f t="shared" ca="1" si="76"/>
        <v>0</v>
      </c>
      <c r="Y44" s="207">
        <f t="shared" ca="1" si="76"/>
        <v>0</v>
      </c>
      <c r="Z44" s="207">
        <f t="shared" ca="1" si="76"/>
        <v>0</v>
      </c>
      <c r="AA44" s="207">
        <f t="shared" ca="1" si="76"/>
        <v>0</v>
      </c>
      <c r="AB44" s="207">
        <f t="shared" ca="1" si="76"/>
        <v>0</v>
      </c>
      <c r="AC44" s="207">
        <f t="shared" ca="1" si="76"/>
        <v>0</v>
      </c>
      <c r="AD44" s="207">
        <f t="shared" ca="1" si="76"/>
        <v>0</v>
      </c>
      <c r="AE44" s="216">
        <f t="shared" ca="1" si="76"/>
        <v>0</v>
      </c>
    </row>
    <row r="45" spans="1:32" ht="12.75" customHeight="1" x14ac:dyDescent="0.2">
      <c r="D45" s="569"/>
      <c r="E45" s="204">
        <f ca="1">IF(ISERROR(E44),IF(1+COUNTIF($L$13:OFFSET(L44,-1,0),1)&lt;=MAX(QCI!$D$13:$D$24),1+COUNTIF($L$13:OFFSET(L44,-1,0),1),-1),0)</f>
        <v>0</v>
      </c>
      <c r="F45" s="204" t="str">
        <f t="shared" ref="F45" ca="1" si="77">IF(AND($E45&lt;&gt;-1,$R44&gt;0),"F","")</f>
        <v>F</v>
      </c>
      <c r="G45" s="217" t="str">
        <f ca="1">IF(OR(R44=0,R44=""),"vazia",IF(AND(OR(ACOMPANHAMENTO="PLE",$Q44&lt;&gt;2),$E45=0),"calculada","--&gt;"))</f>
        <v>--&gt;</v>
      </c>
      <c r="H45" s="218"/>
      <c r="I45" s="219" t="str">
        <f t="shared" ref="I45" ca="1" si="78">IF(AND(G44&lt;&gt;0,ISNUMBER(G44)),"PREENCHA ESTA LINHA --&gt;","")</f>
        <v/>
      </c>
      <c r="J45" s="219"/>
      <c r="K45" s="219"/>
      <c r="L45" s="220"/>
      <c r="M45" s="220"/>
      <c r="N45" s="220"/>
      <c r="O45" s="220"/>
      <c r="P45" s="220"/>
      <c r="Q45" s="220"/>
      <c r="R45" s="221"/>
      <c r="S45" s="222"/>
      <c r="T45" s="570">
        <v>0.2</v>
      </c>
      <c r="U45" s="569">
        <v>0.6</v>
      </c>
      <c r="V45" s="569">
        <v>0.2</v>
      </c>
      <c r="W45" s="569"/>
      <c r="X45" s="569"/>
      <c r="Y45" s="569"/>
      <c r="Z45" s="569"/>
      <c r="AA45" s="569"/>
      <c r="AB45" s="569"/>
      <c r="AC45" s="569"/>
      <c r="AD45" s="569"/>
      <c r="AE45" s="571"/>
      <c r="AF45" s="533"/>
    </row>
    <row r="46" spans="1:32" ht="0.2" hidden="1" customHeight="1" x14ac:dyDescent="0.2">
      <c r="D46" s="223">
        <f ca="1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$165,"="&amp;CRONO!D$12,CÁLCULO!$AB$15:$AL$165)/(ORÇAMENTO!$X$15-CÁLCULO.TotalAdmLocal)*CRONO!$E46,0),D45*$R44),SUMIF(OFFSET($R46,1,0,$Q44-2),($L44+1)&amp;"$",OFFSET(D46,1,0,$Q44-2)))</f>
        <v>0</v>
      </c>
      <c r="E46" s="20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224"/>
      <c r="R46" s="225" t="str">
        <f t="shared" ref="R46" ca="1" si="79">L44&amp;"$"</f>
        <v>2$</v>
      </c>
      <c r="S46" s="226"/>
      <c r="T46" s="227">
        <f ca="1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$165,"&lt;="&amp;CRONO!T$12,CÁLCULO!$AB$15:$AL$165)/(ORÇAMENTO!$X$15-CÁLCULO.TotalAdmLocal)*CRONO!$E46,0),T45*$R44),SUMIF(OFFSET($R46,1,0,$Q44-2),($L44+1)&amp;"$",OFFSET(T46,1,0,$Q44-2)))</f>
        <v>11381.330000000002</v>
      </c>
      <c r="U46" s="223">
        <f ca="1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$165,"="&amp;CRONO!U$12,CÁLCULO!$AB$15:$AL$165)/(ORÇAMENTO!$X$15-CÁLCULO.TotalAdmLocal)*CRONO!$E46,0),U45*$R44),SUMIF(OFFSET($R46,1,0,$Q44-2),($L44+1)&amp;"$",OFFSET(U46,1,0,$Q44-2)))</f>
        <v>34143.99</v>
      </c>
      <c r="V46" s="223">
        <f ca="1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$165,"="&amp;CRONO!V$12,CÁLCULO!$AB$15:$AL$165)/(ORÇAMENTO!$X$15-CÁLCULO.TotalAdmLocal)*CRONO!$E46,0),V45*$R44),SUMIF(OFFSET($R46,1,0,$Q44-2),($L44+1)&amp;"$",OFFSET(V46,1,0,$Q44-2)))</f>
        <v>11381.330000000002</v>
      </c>
      <c r="W46" s="223">
        <f ca="1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$165,"="&amp;CRONO!W$12,CÁLCULO!$AB$15:$AL$165)/(ORÇAMENTO!$X$15-CÁLCULO.TotalAdmLocal)*CRONO!$E46,0),W45*$R44),SUMIF(OFFSET($R46,1,0,$Q44-2),($L44+1)&amp;"$",OFFSET(W46,1,0,$Q44-2)))</f>
        <v>0</v>
      </c>
      <c r="X46" s="223">
        <f ca="1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$165,"="&amp;CRONO!X$12,CÁLCULO!$AB$15:$AL$165)/(ORÇAMENTO!$X$15-CÁLCULO.TotalAdmLocal)*CRONO!$E46,0),X45*$R44),SUMIF(OFFSET($R46,1,0,$Q44-2),($L44+1)&amp;"$",OFFSET(X46,1,0,$Q44-2)))</f>
        <v>0</v>
      </c>
      <c r="Y46" s="223">
        <f ca="1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$165,"="&amp;CRONO!Y$12,CÁLCULO!$AB$15:$AL$165)/(ORÇAMENTO!$X$15-CÁLCULO.TotalAdmLocal)*CRONO!$E46,0),Y45*$R44),SUMIF(OFFSET($R46,1,0,$Q44-2),($L44+1)&amp;"$",OFFSET(Y46,1,0,$Q44-2)))</f>
        <v>0</v>
      </c>
      <c r="Z46" s="223">
        <f ca="1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$165,"="&amp;CRONO!Z$12,CÁLCULO!$AB$15:$AL$165)/(ORÇAMENTO!$X$15-CÁLCULO.TotalAdmLocal)*CRONO!$E46,0),Z45*$R44),SUMIF(OFFSET($R46,1,0,$Q44-2),($L44+1)&amp;"$",OFFSET(Z46,1,0,$Q44-2)))</f>
        <v>0</v>
      </c>
      <c r="AA46" s="223">
        <f ca="1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$165,"="&amp;CRONO!AA$12,CÁLCULO!$AB$15:$AL$165)/(ORÇAMENTO!$X$15-CÁLCULO.TotalAdmLocal)*CRONO!$E46,0),AA45*$R44),SUMIF(OFFSET($R46,1,0,$Q44-2),($L44+1)&amp;"$",OFFSET(AA46,1,0,$Q44-2)))</f>
        <v>0</v>
      </c>
      <c r="AB46" s="223">
        <f ca="1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$165,"="&amp;CRONO!AB$12,CÁLCULO!$AB$15:$AL$165)/(ORÇAMENTO!$X$15-CÁLCULO.TotalAdmLocal)*CRONO!$E46,0),AB45*$R44),SUMIF(OFFSET($R46,1,0,$Q44-2),($L44+1)&amp;"$",OFFSET(AB46,1,0,$Q44-2)))</f>
        <v>0</v>
      </c>
      <c r="AC46" s="223">
        <f ca="1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$165,"="&amp;CRONO!AC$12,CÁLCULO!$AB$15:$AL$165)/(ORÇAMENTO!$X$15-CÁLCULO.TotalAdmLocal)*CRONO!$E46,0),AC45*$R44),SUMIF(OFFSET($R46,1,0,$Q44-2),($L44+1)&amp;"$",OFFSET(AC46,1,0,$Q44-2)))</f>
        <v>0</v>
      </c>
      <c r="AD46" s="223">
        <f ca="1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$165,"="&amp;CRONO!AD$12,CÁLCULO!$AB$15:$AL$165)/(ORÇAMENTO!$X$15-CÁLCULO.TotalAdmLocal)*CRONO!$E46,0),AD45*$R44),SUMIF(OFFSET($R46,1,0,$Q44-2),($L44+1)&amp;"$",OFFSET(AD46,1,0,$Q44-2)))</f>
        <v>0</v>
      </c>
      <c r="AE46" s="228">
        <f ca="1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$165,"="&amp;CRONO!AE$12,CÁLCULO!$AB$15:$AL$165)/(ORÇAMENTO!$X$15-CÁLCULO.TotalAdmLocal)*CRONO!$E46,0),AE45*$R44),SUMIF(OFFSET($R46,1,0,$Q44-2),($L44+1)&amp;"$",OFFSET(AE46,1,0,$Q44-2)))</f>
        <v>0</v>
      </c>
    </row>
    <row r="47" spans="1:32" x14ac:dyDescent="0.2">
      <c r="A47" s="204">
        <f t="shared" ref="A47" ca="1" si="80">OFFSET(A47,-3,0)+1</f>
        <v>12</v>
      </c>
      <c r="B47" s="204">
        <f ca="1">IF($Q47&lt;&gt;2,0,IF($R47=0,1,IF(E48&gt;0,OFFSET(QCI!$M$13,SUBSTITUTE(E48,".",""),0),OFFSET(ORÇAMENTO!$AA$15,CRONO!$E47,0))/$R47))</f>
        <v>1</v>
      </c>
      <c r="C47" s="204">
        <f ca="1">IF($Q47&lt;&gt;2,0,IF($R47=0,1,IF(E48&gt;0,OFFSET(QCI!$N$13,SUBSTITUTE(E48,".",""),0),OFFSET(ORÇAMENTO!$AB$15,CRONO!$E47,0))/$R47))</f>
        <v>0</v>
      </c>
      <c r="D47" s="207">
        <f ca="1">IF(AND($Q47=2,ACOMPANHAMENTO="BM"),D48,D49/$R47)</f>
        <v>0</v>
      </c>
      <c r="E47" s="204">
        <f ca="1">IF(A47&lt;=ORÇAMENTO.MáximoListaCrono,MATCH(A47,ORÇAMENTO.ListaCrono,0),NA())</f>
        <v>43</v>
      </c>
      <c r="F47" s="204" t="str">
        <f t="shared" ref="F47" ca="1" si="81">IF(AND($E48&lt;&gt;-1,$R47&gt;0),"F","")</f>
        <v>F</v>
      </c>
      <c r="G47" s="208">
        <f ca="1">IF(OR(R47=0,R47=""),"Linha",IF(AND(OR(ACOMPANHAMENTO="PLE",$Q47&lt;&gt;2),$E48=0),"Linha",1-SUM(T47:AF47)))</f>
        <v>0</v>
      </c>
      <c r="H47" s="209" t="str">
        <f ca="1">IF($E48=0,OFFSET(ORÇAMENTO!O$15,$E47,0),IF($E48&lt;&gt;-1,OFFSET(QCI!$D$13,$E48,0),""))</f>
        <v>4.2.</v>
      </c>
      <c r="I47" s="210" t="str">
        <f ca="1">IF($E48=0,OFFSET(ORÇAMENTO!R$15,$E47,0),IF($E48&lt;&gt;-1,OFFSET(QCI!$G$13,$E48,0),""))</f>
        <v>REVESTIMENTOS</v>
      </c>
      <c r="J47" s="210"/>
      <c r="K47" s="210"/>
      <c r="L47" s="211">
        <f ca="1">IF($E48=0,OFFSET(ORÇAMENTO!C$15,$E47,0),1)</f>
        <v>2</v>
      </c>
      <c r="M47" s="212">
        <f ca="1">IF($E48=-1,0,IF(M$13&lt;=$L47,IF(ISERROR(MATCH(M$13,OFFSET($L47,1,0,ROW($L$113)-ROW($L47)-1),0)),ROW($L$113)-ROW($L47)-1,MATCH(M$13,OFFSET($L47,1,0,ROW($L$113)-ROW($L47)-1),0)-1),0))</f>
        <v>8</v>
      </c>
      <c r="N47" s="212">
        <f ca="1">IF($E48=-1,0,IF(N$13&lt;=$L47,IF(ISERROR(MATCH(N$13,OFFSET($L47,1,0,ROW($L$113)-ROW($L47)-1),0)),ROW($L$113)-ROW($L47)-1,MATCH(N$13,OFFSET($L47,1,0,ROW($L$113)-ROW($L47)-1),0)-1),0))</f>
        <v>2</v>
      </c>
      <c r="O47" s="212">
        <f ca="1">IF($E48=-1,0,IF(O$13&lt;=$L47,IF(ISERROR(MATCH(O$13,OFFSET($L47,1,0,ROW($L$113)-ROW($L47)-1),0)),ROW($L$113)-ROW($L47)-1,MATCH(O$13,OFFSET($L47,1,0,ROW($L$113)-ROW($L47)-1),0)-1),0))</f>
        <v>0</v>
      </c>
      <c r="P47" s="212">
        <f ca="1">IF($E48=-1,0,IF(P$13&lt;=$L47,IF(ISERROR(MATCH(P$13,OFFSET($L47,1,0,ROW($L$113)-ROW($L47)-1),0)),ROW($L$113)-ROW($L47)-1,MATCH(P$13,OFFSET($L47,1,0,ROW($L$113)-ROW($L47)-1),0)-1),0))</f>
        <v>0</v>
      </c>
      <c r="Q47" s="212">
        <f t="shared" ref="Q47" ca="1" si="82">MIN(OFFSET(L47,0,1,,L47))</f>
        <v>2</v>
      </c>
      <c r="R47" s="213">
        <f ca="1">IF($E48=0,OFFSET(ORÇAMENTO!X$15,$E47,0),IF($E48&lt;&gt;-1,OFFSET(QCI!$O$13,$E48,0),""))</f>
        <v>16008.71</v>
      </c>
      <c r="S47" s="214" t="s">
        <v>270</v>
      </c>
      <c r="T47" s="215">
        <f t="shared" ref="T47:AE47" ca="1" si="83">IF(AND($Q47=2,ACOMPANHAMENTO="BM"),T48,T49/$R47)</f>
        <v>0</v>
      </c>
      <c r="U47" s="207">
        <f t="shared" ca="1" si="83"/>
        <v>0</v>
      </c>
      <c r="V47" s="207">
        <f t="shared" ca="1" si="83"/>
        <v>1</v>
      </c>
      <c r="W47" s="207">
        <f t="shared" ca="1" si="83"/>
        <v>0</v>
      </c>
      <c r="X47" s="207">
        <f t="shared" ca="1" si="83"/>
        <v>0</v>
      </c>
      <c r="Y47" s="207">
        <f t="shared" ca="1" si="83"/>
        <v>0</v>
      </c>
      <c r="Z47" s="207">
        <f t="shared" ca="1" si="83"/>
        <v>0</v>
      </c>
      <c r="AA47" s="207">
        <f t="shared" ca="1" si="83"/>
        <v>0</v>
      </c>
      <c r="AB47" s="207">
        <f t="shared" ca="1" si="83"/>
        <v>0</v>
      </c>
      <c r="AC47" s="207">
        <f t="shared" ca="1" si="83"/>
        <v>0</v>
      </c>
      <c r="AD47" s="207">
        <f t="shared" ca="1" si="83"/>
        <v>0</v>
      </c>
      <c r="AE47" s="216">
        <f t="shared" ca="1" si="83"/>
        <v>0</v>
      </c>
    </row>
    <row r="48" spans="1:32" ht="12.75" customHeight="1" x14ac:dyDescent="0.2">
      <c r="D48" s="569"/>
      <c r="E48" s="204">
        <f ca="1">IF(ISERROR(E47),IF(1+COUNTIF($L$13:OFFSET(L47,-1,0),1)&lt;=MAX(QCI!$D$13:$D$24),1+COUNTIF($L$13:OFFSET(L47,-1,0),1),-1),0)</f>
        <v>0</v>
      </c>
      <c r="F48" s="204" t="str">
        <f t="shared" ref="F48" ca="1" si="84">IF(AND($E48&lt;&gt;-1,$R47&gt;0),"F","")</f>
        <v>F</v>
      </c>
      <c r="G48" s="217" t="str">
        <f ca="1">IF(OR(R47=0,R47=""),"vazia",IF(AND(OR(ACOMPANHAMENTO="PLE",$Q47&lt;&gt;2),$E48=0),"calculada","--&gt;"))</f>
        <v>--&gt;</v>
      </c>
      <c r="H48" s="218"/>
      <c r="I48" s="219" t="str">
        <f t="shared" ref="I48" ca="1" si="85">IF(AND(G47&lt;&gt;0,ISNUMBER(G47)),"PREENCHA ESTA LINHA --&gt;","")</f>
        <v/>
      </c>
      <c r="J48" s="219"/>
      <c r="K48" s="219"/>
      <c r="L48" s="220"/>
      <c r="M48" s="220"/>
      <c r="N48" s="220"/>
      <c r="O48" s="220"/>
      <c r="P48" s="220"/>
      <c r="Q48" s="220"/>
      <c r="R48" s="221"/>
      <c r="S48" s="222"/>
      <c r="T48" s="570"/>
      <c r="U48" s="569"/>
      <c r="V48" s="569">
        <v>1</v>
      </c>
      <c r="W48" s="569"/>
      <c r="X48" s="569"/>
      <c r="Y48" s="569"/>
      <c r="Z48" s="569"/>
      <c r="AA48" s="569"/>
      <c r="AB48" s="569"/>
      <c r="AC48" s="569"/>
      <c r="AD48" s="569"/>
      <c r="AE48" s="571"/>
      <c r="AF48" s="533"/>
    </row>
    <row r="49" spans="1:32" ht="0.2" hidden="1" customHeight="1" x14ac:dyDescent="0.2">
      <c r="D49" s="223">
        <f ca="1">IF($Q47=2,IF(AND(ACOMPANHAMENTO="PLE",ISNUMBER($E47)),SUMIF((OFFSET(CÁLCULO!$AM$15:$AW$15,$E47,0,OFFSET(ORÇAMENTO!$D$15,CRONO!$E47,0))),"="&amp;CRONO!D$12,OFFSET(CÁLCULO!$AB$15:$AL$15,$E47,0,OFFSET(ORÇAMENTO!$D$15,CRONO!$E47,0)))+IF(AND($E49&lt;&gt;"",$E49&lt;&gt;0),SUMIF(CÁLCULO!$AM$15:$AW$165,"="&amp;CRONO!D$12,CÁLCULO!$AB$15:$AL$165)/(ORÇAMENTO!$X$15-CÁLCULO.TotalAdmLocal)*CRONO!$E49,0),D48*$R47),SUMIF(OFFSET($R49,1,0,$Q47-2),($L47+1)&amp;"$",OFFSET(D49,1,0,$Q47-2)))</f>
        <v>0</v>
      </c>
      <c r="E49" s="204" t="str">
        <f ca="1">IF(OR($Q47&lt;&gt;2,AUTOEVENTO&lt;&gt;"manual",$E48&gt;0),"",SUMIF(OFFSET(CÁLCULO!$M$15,CRONO!$E47,0,OFFSET(ORÇAMENTO!$D$15,CRONO!$E47,0)),1,OFFSET(ORÇAMENTO!$X$15,CRONO!$E47,0,OFFSET(ORÇAMENTO!$D$15,CRONO!$E47,0))))</f>
        <v/>
      </c>
      <c r="G49" s="224"/>
      <c r="R49" s="225" t="str">
        <f t="shared" ref="R49" ca="1" si="86">L47&amp;"$"</f>
        <v>2$</v>
      </c>
      <c r="S49" s="226"/>
      <c r="T49" s="227">
        <f ca="1">IF($Q47=2,IF(AND(ACOMPANHAMENTO="PLE",ISNUMBER($E47)),SUMIF((OFFSET(CÁLCULO!$AM$15:$AW$15,$E47,0,OFFSET(ORÇAMENTO!$D$15,CRONO!$E47,0))),"&lt;="&amp;CRONO!T$12,OFFSET(CÁLCULO!$AB$15:$AL$15,$E47,0,OFFSET(ORÇAMENTO!$D$15,CRONO!$E47,0)))+IF(AND($E49&lt;&gt;"",$E49&lt;&gt;0),SUMIF(CÁLCULO!$AM$15:$AW$165,"&lt;="&amp;CRONO!T$12,CÁLCULO!$AB$15:$AL$165)/(ORÇAMENTO!$X$15-CÁLCULO.TotalAdmLocal)*CRONO!$E49,0),T48*$R47),SUMIF(OFFSET($R49,1,0,$Q47-2),($L47+1)&amp;"$",OFFSET(T49,1,0,$Q47-2)))</f>
        <v>0</v>
      </c>
      <c r="U49" s="223">
        <f ca="1">IF($Q47=2,IF(AND(ACOMPANHAMENTO="PLE",ISNUMBER($E47)),SUMIF((OFFSET(CÁLCULO!$AM$15:$AW$15,$E47,0,OFFSET(ORÇAMENTO!$D$15,CRONO!$E47,0))),"="&amp;CRONO!U$12,OFFSET(CÁLCULO!$AB$15:$AL$15,$E47,0,OFFSET(ORÇAMENTO!$D$15,CRONO!$E47,0)))+IF(AND($E49&lt;&gt;"",$E49&lt;&gt;0),SUMIF(CÁLCULO!$AM$15:$AW$165,"="&amp;CRONO!U$12,CÁLCULO!$AB$15:$AL$165)/(ORÇAMENTO!$X$15-CÁLCULO.TotalAdmLocal)*CRONO!$E49,0),U48*$R47),SUMIF(OFFSET($R49,1,0,$Q47-2),($L47+1)&amp;"$",OFFSET(U49,1,0,$Q47-2)))</f>
        <v>0</v>
      </c>
      <c r="V49" s="223">
        <f ca="1">IF($Q47=2,IF(AND(ACOMPANHAMENTO="PLE",ISNUMBER($E47)),SUMIF((OFFSET(CÁLCULO!$AM$15:$AW$15,$E47,0,OFFSET(ORÇAMENTO!$D$15,CRONO!$E47,0))),"="&amp;CRONO!V$12,OFFSET(CÁLCULO!$AB$15:$AL$15,$E47,0,OFFSET(ORÇAMENTO!$D$15,CRONO!$E47,0)))+IF(AND($E49&lt;&gt;"",$E49&lt;&gt;0),SUMIF(CÁLCULO!$AM$15:$AW$165,"="&amp;CRONO!V$12,CÁLCULO!$AB$15:$AL$165)/(ORÇAMENTO!$X$15-CÁLCULO.TotalAdmLocal)*CRONO!$E49,0),V48*$R47),SUMIF(OFFSET($R49,1,0,$Q47-2),($L47+1)&amp;"$",OFFSET(V49,1,0,$Q47-2)))</f>
        <v>16008.71</v>
      </c>
      <c r="W49" s="223">
        <f ca="1">IF($Q47=2,IF(AND(ACOMPANHAMENTO="PLE",ISNUMBER($E47)),SUMIF((OFFSET(CÁLCULO!$AM$15:$AW$15,$E47,0,OFFSET(ORÇAMENTO!$D$15,CRONO!$E47,0))),"="&amp;CRONO!W$12,OFFSET(CÁLCULO!$AB$15:$AL$15,$E47,0,OFFSET(ORÇAMENTO!$D$15,CRONO!$E47,0)))+IF(AND($E49&lt;&gt;"",$E49&lt;&gt;0),SUMIF(CÁLCULO!$AM$15:$AW$165,"="&amp;CRONO!W$12,CÁLCULO!$AB$15:$AL$165)/(ORÇAMENTO!$X$15-CÁLCULO.TotalAdmLocal)*CRONO!$E49,0),W48*$R47),SUMIF(OFFSET($R49,1,0,$Q47-2),($L47+1)&amp;"$",OFFSET(W49,1,0,$Q47-2)))</f>
        <v>0</v>
      </c>
      <c r="X49" s="223">
        <f ca="1">IF($Q47=2,IF(AND(ACOMPANHAMENTO="PLE",ISNUMBER($E47)),SUMIF((OFFSET(CÁLCULO!$AM$15:$AW$15,$E47,0,OFFSET(ORÇAMENTO!$D$15,CRONO!$E47,0))),"="&amp;CRONO!X$12,OFFSET(CÁLCULO!$AB$15:$AL$15,$E47,0,OFFSET(ORÇAMENTO!$D$15,CRONO!$E47,0)))+IF(AND($E49&lt;&gt;"",$E49&lt;&gt;0),SUMIF(CÁLCULO!$AM$15:$AW$165,"="&amp;CRONO!X$12,CÁLCULO!$AB$15:$AL$165)/(ORÇAMENTO!$X$15-CÁLCULO.TotalAdmLocal)*CRONO!$E49,0),X48*$R47),SUMIF(OFFSET($R49,1,0,$Q47-2),($L47+1)&amp;"$",OFFSET(X49,1,0,$Q47-2)))</f>
        <v>0</v>
      </c>
      <c r="Y49" s="223">
        <f ca="1">IF($Q47=2,IF(AND(ACOMPANHAMENTO="PLE",ISNUMBER($E47)),SUMIF((OFFSET(CÁLCULO!$AM$15:$AW$15,$E47,0,OFFSET(ORÇAMENTO!$D$15,CRONO!$E47,0))),"="&amp;CRONO!Y$12,OFFSET(CÁLCULO!$AB$15:$AL$15,$E47,0,OFFSET(ORÇAMENTO!$D$15,CRONO!$E47,0)))+IF(AND($E49&lt;&gt;"",$E49&lt;&gt;0),SUMIF(CÁLCULO!$AM$15:$AW$165,"="&amp;CRONO!Y$12,CÁLCULO!$AB$15:$AL$165)/(ORÇAMENTO!$X$15-CÁLCULO.TotalAdmLocal)*CRONO!$E49,0),Y48*$R47),SUMIF(OFFSET($R49,1,0,$Q47-2),($L47+1)&amp;"$",OFFSET(Y49,1,0,$Q47-2)))</f>
        <v>0</v>
      </c>
      <c r="Z49" s="223">
        <f ca="1">IF($Q47=2,IF(AND(ACOMPANHAMENTO="PLE",ISNUMBER($E47)),SUMIF((OFFSET(CÁLCULO!$AM$15:$AW$15,$E47,0,OFFSET(ORÇAMENTO!$D$15,CRONO!$E47,0))),"="&amp;CRONO!Z$12,OFFSET(CÁLCULO!$AB$15:$AL$15,$E47,0,OFFSET(ORÇAMENTO!$D$15,CRONO!$E47,0)))+IF(AND($E49&lt;&gt;"",$E49&lt;&gt;0),SUMIF(CÁLCULO!$AM$15:$AW$165,"="&amp;CRONO!Z$12,CÁLCULO!$AB$15:$AL$165)/(ORÇAMENTO!$X$15-CÁLCULO.TotalAdmLocal)*CRONO!$E49,0),Z48*$R47),SUMIF(OFFSET($R49,1,0,$Q47-2),($L47+1)&amp;"$",OFFSET(Z49,1,0,$Q47-2)))</f>
        <v>0</v>
      </c>
      <c r="AA49" s="223">
        <f ca="1">IF($Q47=2,IF(AND(ACOMPANHAMENTO="PLE",ISNUMBER($E47)),SUMIF((OFFSET(CÁLCULO!$AM$15:$AW$15,$E47,0,OFFSET(ORÇAMENTO!$D$15,CRONO!$E47,0))),"="&amp;CRONO!AA$12,OFFSET(CÁLCULO!$AB$15:$AL$15,$E47,0,OFFSET(ORÇAMENTO!$D$15,CRONO!$E47,0)))+IF(AND($E49&lt;&gt;"",$E49&lt;&gt;0),SUMIF(CÁLCULO!$AM$15:$AW$165,"="&amp;CRONO!AA$12,CÁLCULO!$AB$15:$AL$165)/(ORÇAMENTO!$X$15-CÁLCULO.TotalAdmLocal)*CRONO!$E49,0),AA48*$R47),SUMIF(OFFSET($R49,1,0,$Q47-2),($L47+1)&amp;"$",OFFSET(AA49,1,0,$Q47-2)))</f>
        <v>0</v>
      </c>
      <c r="AB49" s="223">
        <f ca="1">IF($Q47=2,IF(AND(ACOMPANHAMENTO="PLE",ISNUMBER($E47)),SUMIF((OFFSET(CÁLCULO!$AM$15:$AW$15,$E47,0,OFFSET(ORÇAMENTO!$D$15,CRONO!$E47,0))),"="&amp;CRONO!AB$12,OFFSET(CÁLCULO!$AB$15:$AL$15,$E47,0,OFFSET(ORÇAMENTO!$D$15,CRONO!$E47,0)))+IF(AND($E49&lt;&gt;"",$E49&lt;&gt;0),SUMIF(CÁLCULO!$AM$15:$AW$165,"="&amp;CRONO!AB$12,CÁLCULO!$AB$15:$AL$165)/(ORÇAMENTO!$X$15-CÁLCULO.TotalAdmLocal)*CRONO!$E49,0),AB48*$R47),SUMIF(OFFSET($R49,1,0,$Q47-2),($L47+1)&amp;"$",OFFSET(AB49,1,0,$Q47-2)))</f>
        <v>0</v>
      </c>
      <c r="AC49" s="223">
        <f ca="1">IF($Q47=2,IF(AND(ACOMPANHAMENTO="PLE",ISNUMBER($E47)),SUMIF((OFFSET(CÁLCULO!$AM$15:$AW$15,$E47,0,OFFSET(ORÇAMENTO!$D$15,CRONO!$E47,0))),"="&amp;CRONO!AC$12,OFFSET(CÁLCULO!$AB$15:$AL$15,$E47,0,OFFSET(ORÇAMENTO!$D$15,CRONO!$E47,0)))+IF(AND($E49&lt;&gt;"",$E49&lt;&gt;0),SUMIF(CÁLCULO!$AM$15:$AW$165,"="&amp;CRONO!AC$12,CÁLCULO!$AB$15:$AL$165)/(ORÇAMENTO!$X$15-CÁLCULO.TotalAdmLocal)*CRONO!$E49,0),AC48*$R47),SUMIF(OFFSET($R49,1,0,$Q47-2),($L47+1)&amp;"$",OFFSET(AC49,1,0,$Q47-2)))</f>
        <v>0</v>
      </c>
      <c r="AD49" s="223">
        <f ca="1">IF($Q47=2,IF(AND(ACOMPANHAMENTO="PLE",ISNUMBER($E47)),SUMIF((OFFSET(CÁLCULO!$AM$15:$AW$15,$E47,0,OFFSET(ORÇAMENTO!$D$15,CRONO!$E47,0))),"="&amp;CRONO!AD$12,OFFSET(CÁLCULO!$AB$15:$AL$15,$E47,0,OFFSET(ORÇAMENTO!$D$15,CRONO!$E47,0)))+IF(AND($E49&lt;&gt;"",$E49&lt;&gt;0),SUMIF(CÁLCULO!$AM$15:$AW$165,"="&amp;CRONO!AD$12,CÁLCULO!$AB$15:$AL$165)/(ORÇAMENTO!$X$15-CÁLCULO.TotalAdmLocal)*CRONO!$E49,0),AD48*$R47),SUMIF(OFFSET($R49,1,0,$Q47-2),($L47+1)&amp;"$",OFFSET(AD49,1,0,$Q47-2)))</f>
        <v>0</v>
      </c>
      <c r="AE49" s="228">
        <f ca="1">IF($Q47=2,IF(AND(ACOMPANHAMENTO="PLE",ISNUMBER($E47)),SUMIF((OFFSET(CÁLCULO!$AM$15:$AW$15,$E47,0,OFFSET(ORÇAMENTO!$D$15,CRONO!$E47,0))),"="&amp;CRONO!AE$12,OFFSET(CÁLCULO!$AB$15:$AL$15,$E47,0,OFFSET(ORÇAMENTO!$D$15,CRONO!$E47,0)))+IF(AND($E49&lt;&gt;"",$E49&lt;&gt;0),SUMIF(CÁLCULO!$AM$15:$AW$165,"="&amp;CRONO!AE$12,CÁLCULO!$AB$15:$AL$165)/(ORÇAMENTO!$X$15-CÁLCULO.TotalAdmLocal)*CRONO!$E49,0),AE48*$R47),SUMIF(OFFSET($R49,1,0,$Q47-2),($L47+1)&amp;"$",OFFSET(AE49,1,0,$Q47-2)))</f>
        <v>0</v>
      </c>
    </row>
    <row r="50" spans="1:32" x14ac:dyDescent="0.2">
      <c r="A50" s="204">
        <f t="shared" ref="A50" ca="1" si="87">OFFSET(A50,-3,0)+1</f>
        <v>13</v>
      </c>
      <c r="B50" s="204">
        <f ca="1">IF($Q50&lt;&gt;2,0,IF($R50=0,1,IF(E51&gt;0,OFFSET(QCI!$M$13,SUBSTITUTE(E51,".",""),0),OFFSET(ORÇAMENTO!$AA$15,CRONO!$E50,0))/$R50))</f>
        <v>1</v>
      </c>
      <c r="C50" s="204">
        <f ca="1">IF($Q50&lt;&gt;2,0,IF($R50=0,1,IF(E51&gt;0,OFFSET(QCI!$N$13,SUBSTITUTE(E51,".",""),0),OFFSET(ORÇAMENTO!$AB$15,CRONO!$E50,0))/$R50))</f>
        <v>0</v>
      </c>
      <c r="D50" s="207">
        <f ca="1">IF(AND($Q50=2,ACOMPANHAMENTO="BM"),D51,D52/$R50)</f>
        <v>0</v>
      </c>
      <c r="E50" s="204">
        <f ca="1">IF(A50&lt;=ORÇAMENTO.MáximoListaCrono,MATCH(A50,ORÇAMENTO.ListaCrono,0),NA())</f>
        <v>47</v>
      </c>
      <c r="F50" s="204" t="str">
        <f t="shared" ref="F50" ca="1" si="88">IF(AND($E51&lt;&gt;-1,$R50&gt;0),"F","")</f>
        <v>F</v>
      </c>
      <c r="G50" s="208">
        <f ca="1">IF(OR(R50=0,R50=""),"Linha",IF(AND(OR(ACOMPANHAMENTO="PLE",$Q50&lt;&gt;2),$E51=0),"Linha",1-SUM(T50:AF50)))</f>
        <v>0</v>
      </c>
      <c r="H50" s="209" t="str">
        <f ca="1">IF($E51=0,OFFSET(ORÇAMENTO!O$15,$E50,0),IF($E51&lt;&gt;-1,OFFSET(QCI!$D$13,$E51,0),""))</f>
        <v>4.3.</v>
      </c>
      <c r="I50" s="210" t="str">
        <f ca="1">IF($E51=0,OFFSET(ORÇAMENTO!R$15,$E50,0),IF($E51&lt;&gt;-1,OFFSET(QCI!$G$13,$E51,0),""))</f>
        <v xml:space="preserve">ESQUADRIAS </v>
      </c>
      <c r="J50" s="210"/>
      <c r="K50" s="210"/>
      <c r="L50" s="211">
        <f ca="1">IF($E51=0,OFFSET(ORÇAMENTO!C$15,$E50,0),1)</f>
        <v>2</v>
      </c>
      <c r="M50" s="212">
        <f ca="1">IF($E51=-1,0,IF(M$13&lt;=$L50,IF(ISERROR(MATCH(M$13,OFFSET($L50,1,0,ROW($L$113)-ROW($L50)-1),0)),ROW($L$113)-ROW($L50)-1,MATCH(M$13,OFFSET($L50,1,0,ROW($L$113)-ROW($L50)-1),0)-1),0))</f>
        <v>5</v>
      </c>
      <c r="N50" s="212">
        <f ca="1">IF($E51=-1,0,IF(N$13&lt;=$L50,IF(ISERROR(MATCH(N$13,OFFSET($L50,1,0,ROW($L$113)-ROW($L50)-1),0)),ROW($L$113)-ROW($L50)-1,MATCH(N$13,OFFSET($L50,1,0,ROW($L$113)-ROW($L50)-1),0)-1),0))</f>
        <v>2</v>
      </c>
      <c r="O50" s="212">
        <f ca="1">IF($E51=-1,0,IF(O$13&lt;=$L50,IF(ISERROR(MATCH(O$13,OFFSET($L50,1,0,ROW($L$113)-ROW($L50)-1),0)),ROW($L$113)-ROW($L50)-1,MATCH(O$13,OFFSET($L50,1,0,ROW($L$113)-ROW($L50)-1),0)-1),0))</f>
        <v>0</v>
      </c>
      <c r="P50" s="212">
        <f ca="1">IF($E51=-1,0,IF(P$13&lt;=$L50,IF(ISERROR(MATCH(P$13,OFFSET($L50,1,0,ROW($L$113)-ROW($L50)-1),0)),ROW($L$113)-ROW($L50)-1,MATCH(P$13,OFFSET($L50,1,0,ROW($L$113)-ROW($L50)-1),0)-1),0))</f>
        <v>0</v>
      </c>
      <c r="Q50" s="212">
        <f t="shared" ref="Q50" ca="1" si="89">MIN(OFFSET(L50,0,1,,L50))</f>
        <v>2</v>
      </c>
      <c r="R50" s="213">
        <f ca="1">IF($E51=0,OFFSET(ORÇAMENTO!X$15,$E50,0),IF($E51&lt;&gt;-1,OFFSET(QCI!$O$13,$E51,0),""))</f>
        <v>22185.47</v>
      </c>
      <c r="S50" s="214" t="s">
        <v>270</v>
      </c>
      <c r="T50" s="215">
        <f t="shared" ref="T50:AE50" ca="1" si="90">IF(AND($Q50=2,ACOMPANHAMENTO="BM"),T51,T52/$R50)</f>
        <v>0</v>
      </c>
      <c r="U50" s="207">
        <f t="shared" ca="1" si="90"/>
        <v>0</v>
      </c>
      <c r="V50" s="207">
        <f t="shared" ca="1" si="90"/>
        <v>1</v>
      </c>
      <c r="W50" s="207">
        <f t="shared" ca="1" si="90"/>
        <v>0</v>
      </c>
      <c r="X50" s="207">
        <f t="shared" ca="1" si="90"/>
        <v>0</v>
      </c>
      <c r="Y50" s="207">
        <f t="shared" ca="1" si="90"/>
        <v>0</v>
      </c>
      <c r="Z50" s="207">
        <f t="shared" ca="1" si="90"/>
        <v>0</v>
      </c>
      <c r="AA50" s="207">
        <f t="shared" ca="1" si="90"/>
        <v>0</v>
      </c>
      <c r="AB50" s="207">
        <f t="shared" ca="1" si="90"/>
        <v>0</v>
      </c>
      <c r="AC50" s="207">
        <f t="shared" ca="1" si="90"/>
        <v>0</v>
      </c>
      <c r="AD50" s="207">
        <f t="shared" ca="1" si="90"/>
        <v>0</v>
      </c>
      <c r="AE50" s="216">
        <f t="shared" ca="1" si="90"/>
        <v>0</v>
      </c>
    </row>
    <row r="51" spans="1:32" ht="12.75" customHeight="1" x14ac:dyDescent="0.2">
      <c r="D51" s="569"/>
      <c r="E51" s="204">
        <f ca="1">IF(ISERROR(E50),IF(1+COUNTIF($L$13:OFFSET(L50,-1,0),1)&lt;=MAX(QCI!$D$13:$D$24),1+COUNTIF($L$13:OFFSET(L50,-1,0),1),-1),0)</f>
        <v>0</v>
      </c>
      <c r="F51" s="204" t="str">
        <f t="shared" ref="F51" ca="1" si="91">IF(AND($E51&lt;&gt;-1,$R50&gt;0),"F","")</f>
        <v>F</v>
      </c>
      <c r="G51" s="217" t="str">
        <f ca="1">IF(OR(R50=0,R50=""),"vazia",IF(AND(OR(ACOMPANHAMENTO="PLE",$Q50&lt;&gt;2),$E51=0),"calculada","--&gt;"))</f>
        <v>--&gt;</v>
      </c>
      <c r="H51" s="218"/>
      <c r="I51" s="219" t="str">
        <f t="shared" ref="I51" ca="1" si="92">IF(AND(G50&lt;&gt;0,ISNUMBER(G50)),"PREENCHA ESTA LINHA --&gt;","")</f>
        <v/>
      </c>
      <c r="J51" s="219"/>
      <c r="K51" s="219"/>
      <c r="L51" s="220"/>
      <c r="M51" s="220"/>
      <c r="N51" s="220"/>
      <c r="O51" s="220"/>
      <c r="P51" s="220"/>
      <c r="Q51" s="220"/>
      <c r="R51" s="221"/>
      <c r="S51" s="222"/>
      <c r="T51" s="570"/>
      <c r="U51" s="569"/>
      <c r="V51" s="569">
        <v>1</v>
      </c>
      <c r="W51" s="569"/>
      <c r="X51" s="569"/>
      <c r="Y51" s="569"/>
      <c r="Z51" s="569"/>
      <c r="AA51" s="569"/>
      <c r="AB51" s="569"/>
      <c r="AC51" s="569"/>
      <c r="AD51" s="569"/>
      <c r="AE51" s="571"/>
      <c r="AF51" s="533"/>
    </row>
    <row r="52" spans="1:32" ht="0.2" hidden="1" customHeight="1" x14ac:dyDescent="0.2">
      <c r="D52" s="223">
        <f ca="1">IF($Q50=2,IF(AND(ACOMPANHAMENTO="PLE",ISNUMBER($E50)),SUMIF((OFFSET(CÁLCULO!$AM$15:$AW$15,$E50,0,OFFSET(ORÇAMENTO!$D$15,CRONO!$E50,0))),"="&amp;CRONO!D$12,OFFSET(CÁLCULO!$AB$15:$AL$15,$E50,0,OFFSET(ORÇAMENTO!$D$15,CRONO!$E50,0)))+IF(AND($E52&lt;&gt;"",$E52&lt;&gt;0),SUMIF(CÁLCULO!$AM$15:$AW$165,"="&amp;CRONO!D$12,CÁLCULO!$AB$15:$AL$165)/(ORÇAMENTO!$X$15-CÁLCULO.TotalAdmLocal)*CRONO!$E52,0),D51*$R50),SUMIF(OFFSET($R52,1,0,$Q50-2),($L50+1)&amp;"$",OFFSET(D52,1,0,$Q50-2)))</f>
        <v>0</v>
      </c>
      <c r="E52" s="204" t="str">
        <f ca="1">IF(OR($Q50&lt;&gt;2,AUTOEVENTO&lt;&gt;"manual",$E51&gt;0),"",SUMIF(OFFSET(CÁLCULO!$M$15,CRONO!$E50,0,OFFSET(ORÇAMENTO!$D$15,CRONO!$E50,0)),1,OFFSET(ORÇAMENTO!$X$15,CRONO!$E50,0,OFFSET(ORÇAMENTO!$D$15,CRONO!$E50,0))))</f>
        <v/>
      </c>
      <c r="G52" s="224"/>
      <c r="R52" s="225" t="str">
        <f t="shared" ref="R52" ca="1" si="93">L50&amp;"$"</f>
        <v>2$</v>
      </c>
      <c r="S52" s="226"/>
      <c r="T52" s="227">
        <f ca="1">IF($Q50=2,IF(AND(ACOMPANHAMENTO="PLE",ISNUMBER($E50)),SUMIF((OFFSET(CÁLCULO!$AM$15:$AW$15,$E50,0,OFFSET(ORÇAMENTO!$D$15,CRONO!$E50,0))),"&lt;="&amp;CRONO!T$12,OFFSET(CÁLCULO!$AB$15:$AL$15,$E50,0,OFFSET(ORÇAMENTO!$D$15,CRONO!$E50,0)))+IF(AND($E52&lt;&gt;"",$E52&lt;&gt;0),SUMIF(CÁLCULO!$AM$15:$AW$165,"&lt;="&amp;CRONO!T$12,CÁLCULO!$AB$15:$AL$165)/(ORÇAMENTO!$X$15-CÁLCULO.TotalAdmLocal)*CRONO!$E52,0),T51*$R50),SUMIF(OFFSET($R52,1,0,$Q50-2),($L50+1)&amp;"$",OFFSET(T52,1,0,$Q50-2)))</f>
        <v>0</v>
      </c>
      <c r="U52" s="223">
        <f ca="1">IF($Q50=2,IF(AND(ACOMPANHAMENTO="PLE",ISNUMBER($E50)),SUMIF((OFFSET(CÁLCULO!$AM$15:$AW$15,$E50,0,OFFSET(ORÇAMENTO!$D$15,CRONO!$E50,0))),"="&amp;CRONO!U$12,OFFSET(CÁLCULO!$AB$15:$AL$15,$E50,0,OFFSET(ORÇAMENTO!$D$15,CRONO!$E50,0)))+IF(AND($E52&lt;&gt;"",$E52&lt;&gt;0),SUMIF(CÁLCULO!$AM$15:$AW$165,"="&amp;CRONO!U$12,CÁLCULO!$AB$15:$AL$165)/(ORÇAMENTO!$X$15-CÁLCULO.TotalAdmLocal)*CRONO!$E52,0),U51*$R50),SUMIF(OFFSET($R52,1,0,$Q50-2),($L50+1)&amp;"$",OFFSET(U52,1,0,$Q50-2)))</f>
        <v>0</v>
      </c>
      <c r="V52" s="223">
        <f ca="1">IF($Q50=2,IF(AND(ACOMPANHAMENTO="PLE",ISNUMBER($E50)),SUMIF((OFFSET(CÁLCULO!$AM$15:$AW$15,$E50,0,OFFSET(ORÇAMENTO!$D$15,CRONO!$E50,0))),"="&amp;CRONO!V$12,OFFSET(CÁLCULO!$AB$15:$AL$15,$E50,0,OFFSET(ORÇAMENTO!$D$15,CRONO!$E50,0)))+IF(AND($E52&lt;&gt;"",$E52&lt;&gt;0),SUMIF(CÁLCULO!$AM$15:$AW$165,"="&amp;CRONO!V$12,CÁLCULO!$AB$15:$AL$165)/(ORÇAMENTO!$X$15-CÁLCULO.TotalAdmLocal)*CRONO!$E52,0),V51*$R50),SUMIF(OFFSET($R52,1,0,$Q50-2),($L50+1)&amp;"$",OFFSET(V52,1,0,$Q50-2)))</f>
        <v>22185.47</v>
      </c>
      <c r="W52" s="223">
        <f ca="1">IF($Q50=2,IF(AND(ACOMPANHAMENTO="PLE",ISNUMBER($E50)),SUMIF((OFFSET(CÁLCULO!$AM$15:$AW$15,$E50,0,OFFSET(ORÇAMENTO!$D$15,CRONO!$E50,0))),"="&amp;CRONO!W$12,OFFSET(CÁLCULO!$AB$15:$AL$15,$E50,0,OFFSET(ORÇAMENTO!$D$15,CRONO!$E50,0)))+IF(AND($E52&lt;&gt;"",$E52&lt;&gt;0),SUMIF(CÁLCULO!$AM$15:$AW$165,"="&amp;CRONO!W$12,CÁLCULO!$AB$15:$AL$165)/(ORÇAMENTO!$X$15-CÁLCULO.TotalAdmLocal)*CRONO!$E52,0),W51*$R50),SUMIF(OFFSET($R52,1,0,$Q50-2),($L50+1)&amp;"$",OFFSET(W52,1,0,$Q50-2)))</f>
        <v>0</v>
      </c>
      <c r="X52" s="223">
        <f ca="1">IF($Q50=2,IF(AND(ACOMPANHAMENTO="PLE",ISNUMBER($E50)),SUMIF((OFFSET(CÁLCULO!$AM$15:$AW$15,$E50,0,OFFSET(ORÇAMENTO!$D$15,CRONO!$E50,0))),"="&amp;CRONO!X$12,OFFSET(CÁLCULO!$AB$15:$AL$15,$E50,0,OFFSET(ORÇAMENTO!$D$15,CRONO!$E50,0)))+IF(AND($E52&lt;&gt;"",$E52&lt;&gt;0),SUMIF(CÁLCULO!$AM$15:$AW$165,"="&amp;CRONO!X$12,CÁLCULO!$AB$15:$AL$165)/(ORÇAMENTO!$X$15-CÁLCULO.TotalAdmLocal)*CRONO!$E52,0),X51*$R50),SUMIF(OFFSET($R52,1,0,$Q50-2),($L50+1)&amp;"$",OFFSET(X52,1,0,$Q50-2)))</f>
        <v>0</v>
      </c>
      <c r="Y52" s="223">
        <f ca="1">IF($Q50=2,IF(AND(ACOMPANHAMENTO="PLE",ISNUMBER($E50)),SUMIF((OFFSET(CÁLCULO!$AM$15:$AW$15,$E50,0,OFFSET(ORÇAMENTO!$D$15,CRONO!$E50,0))),"="&amp;CRONO!Y$12,OFFSET(CÁLCULO!$AB$15:$AL$15,$E50,0,OFFSET(ORÇAMENTO!$D$15,CRONO!$E50,0)))+IF(AND($E52&lt;&gt;"",$E52&lt;&gt;0),SUMIF(CÁLCULO!$AM$15:$AW$165,"="&amp;CRONO!Y$12,CÁLCULO!$AB$15:$AL$165)/(ORÇAMENTO!$X$15-CÁLCULO.TotalAdmLocal)*CRONO!$E52,0),Y51*$R50),SUMIF(OFFSET($R52,1,0,$Q50-2),($L50+1)&amp;"$",OFFSET(Y52,1,0,$Q50-2)))</f>
        <v>0</v>
      </c>
      <c r="Z52" s="223">
        <f ca="1">IF($Q50=2,IF(AND(ACOMPANHAMENTO="PLE",ISNUMBER($E50)),SUMIF((OFFSET(CÁLCULO!$AM$15:$AW$15,$E50,0,OFFSET(ORÇAMENTO!$D$15,CRONO!$E50,0))),"="&amp;CRONO!Z$12,OFFSET(CÁLCULO!$AB$15:$AL$15,$E50,0,OFFSET(ORÇAMENTO!$D$15,CRONO!$E50,0)))+IF(AND($E52&lt;&gt;"",$E52&lt;&gt;0),SUMIF(CÁLCULO!$AM$15:$AW$165,"="&amp;CRONO!Z$12,CÁLCULO!$AB$15:$AL$165)/(ORÇAMENTO!$X$15-CÁLCULO.TotalAdmLocal)*CRONO!$E52,0),Z51*$R50),SUMIF(OFFSET($R52,1,0,$Q50-2),($L50+1)&amp;"$",OFFSET(Z52,1,0,$Q50-2)))</f>
        <v>0</v>
      </c>
      <c r="AA52" s="223">
        <f ca="1">IF($Q50=2,IF(AND(ACOMPANHAMENTO="PLE",ISNUMBER($E50)),SUMIF((OFFSET(CÁLCULO!$AM$15:$AW$15,$E50,0,OFFSET(ORÇAMENTO!$D$15,CRONO!$E50,0))),"="&amp;CRONO!AA$12,OFFSET(CÁLCULO!$AB$15:$AL$15,$E50,0,OFFSET(ORÇAMENTO!$D$15,CRONO!$E50,0)))+IF(AND($E52&lt;&gt;"",$E52&lt;&gt;0),SUMIF(CÁLCULO!$AM$15:$AW$165,"="&amp;CRONO!AA$12,CÁLCULO!$AB$15:$AL$165)/(ORÇAMENTO!$X$15-CÁLCULO.TotalAdmLocal)*CRONO!$E52,0),AA51*$R50),SUMIF(OFFSET($R52,1,0,$Q50-2),($L50+1)&amp;"$",OFFSET(AA52,1,0,$Q50-2)))</f>
        <v>0</v>
      </c>
      <c r="AB52" s="223">
        <f ca="1">IF($Q50=2,IF(AND(ACOMPANHAMENTO="PLE",ISNUMBER($E50)),SUMIF((OFFSET(CÁLCULO!$AM$15:$AW$15,$E50,0,OFFSET(ORÇAMENTO!$D$15,CRONO!$E50,0))),"="&amp;CRONO!AB$12,OFFSET(CÁLCULO!$AB$15:$AL$15,$E50,0,OFFSET(ORÇAMENTO!$D$15,CRONO!$E50,0)))+IF(AND($E52&lt;&gt;"",$E52&lt;&gt;0),SUMIF(CÁLCULO!$AM$15:$AW$165,"="&amp;CRONO!AB$12,CÁLCULO!$AB$15:$AL$165)/(ORÇAMENTO!$X$15-CÁLCULO.TotalAdmLocal)*CRONO!$E52,0),AB51*$R50),SUMIF(OFFSET($R52,1,0,$Q50-2),($L50+1)&amp;"$",OFFSET(AB52,1,0,$Q50-2)))</f>
        <v>0</v>
      </c>
      <c r="AC52" s="223">
        <f ca="1">IF($Q50=2,IF(AND(ACOMPANHAMENTO="PLE",ISNUMBER($E50)),SUMIF((OFFSET(CÁLCULO!$AM$15:$AW$15,$E50,0,OFFSET(ORÇAMENTO!$D$15,CRONO!$E50,0))),"="&amp;CRONO!AC$12,OFFSET(CÁLCULO!$AB$15:$AL$15,$E50,0,OFFSET(ORÇAMENTO!$D$15,CRONO!$E50,0)))+IF(AND($E52&lt;&gt;"",$E52&lt;&gt;0),SUMIF(CÁLCULO!$AM$15:$AW$165,"="&amp;CRONO!AC$12,CÁLCULO!$AB$15:$AL$165)/(ORÇAMENTO!$X$15-CÁLCULO.TotalAdmLocal)*CRONO!$E52,0),AC51*$R50),SUMIF(OFFSET($R52,1,0,$Q50-2),($L50+1)&amp;"$",OFFSET(AC52,1,0,$Q50-2)))</f>
        <v>0</v>
      </c>
      <c r="AD52" s="223">
        <f ca="1">IF($Q50=2,IF(AND(ACOMPANHAMENTO="PLE",ISNUMBER($E50)),SUMIF((OFFSET(CÁLCULO!$AM$15:$AW$15,$E50,0,OFFSET(ORÇAMENTO!$D$15,CRONO!$E50,0))),"="&amp;CRONO!AD$12,OFFSET(CÁLCULO!$AB$15:$AL$15,$E50,0,OFFSET(ORÇAMENTO!$D$15,CRONO!$E50,0)))+IF(AND($E52&lt;&gt;"",$E52&lt;&gt;0),SUMIF(CÁLCULO!$AM$15:$AW$165,"="&amp;CRONO!AD$12,CÁLCULO!$AB$15:$AL$165)/(ORÇAMENTO!$X$15-CÁLCULO.TotalAdmLocal)*CRONO!$E52,0),AD51*$R50),SUMIF(OFFSET($R52,1,0,$Q50-2),($L50+1)&amp;"$",OFFSET(AD52,1,0,$Q50-2)))</f>
        <v>0</v>
      </c>
      <c r="AE52" s="228">
        <f ca="1">IF($Q50=2,IF(AND(ACOMPANHAMENTO="PLE",ISNUMBER($E50)),SUMIF((OFFSET(CÁLCULO!$AM$15:$AW$15,$E50,0,OFFSET(ORÇAMENTO!$D$15,CRONO!$E50,0))),"="&amp;CRONO!AE$12,OFFSET(CÁLCULO!$AB$15:$AL$15,$E50,0,OFFSET(ORÇAMENTO!$D$15,CRONO!$E50,0)))+IF(AND($E52&lt;&gt;"",$E52&lt;&gt;0),SUMIF(CÁLCULO!$AM$15:$AW$165,"="&amp;CRONO!AE$12,CÁLCULO!$AB$15:$AL$165)/(ORÇAMENTO!$X$15-CÁLCULO.TotalAdmLocal)*CRONO!$E52,0),AE51*$R50),SUMIF(OFFSET($R52,1,0,$Q50-2),($L50+1)&amp;"$",OFFSET(AE52,1,0,$Q50-2)))</f>
        <v>0</v>
      </c>
    </row>
    <row r="53" spans="1:32" x14ac:dyDescent="0.2">
      <c r="A53" s="204">
        <f t="shared" ref="A53" ca="1" si="94">OFFSET(A53,-3,0)+1</f>
        <v>14</v>
      </c>
      <c r="B53" s="204">
        <f ca="1">IF($Q53&lt;&gt;2,0,IF($R53=0,1,IF(E54&gt;0,OFFSET(QCI!$M$13,SUBSTITUTE(E54,".",""),0),OFFSET(ORÇAMENTO!$AA$15,CRONO!$E53,0))/$R53))</f>
        <v>1</v>
      </c>
      <c r="C53" s="204">
        <f ca="1">IF($Q53&lt;&gt;2,0,IF($R53=0,1,IF(E54&gt;0,OFFSET(QCI!$N$13,SUBSTITUTE(E54,".",""),0),OFFSET(ORÇAMENTO!$AB$15,CRONO!$E53,0))/$R53))</f>
        <v>0</v>
      </c>
      <c r="D53" s="207">
        <f ca="1">IF(AND($Q53=2,ACOMPANHAMENTO="BM"),D54,D55/$R53)</f>
        <v>0</v>
      </c>
      <c r="E53" s="204">
        <f ca="1">IF(A53&lt;=ORÇAMENTO.MáximoListaCrono,MATCH(A53,ORÇAMENTO.ListaCrono,0),NA())</f>
        <v>52</v>
      </c>
      <c r="F53" s="204" t="str">
        <f t="shared" ref="F53" ca="1" si="95">IF(AND($E54&lt;&gt;-1,$R53&gt;0),"F","")</f>
        <v>F</v>
      </c>
      <c r="G53" s="208">
        <f ca="1">IF(OR(R53=0,R53=""),"Linha",IF(AND(OR(ACOMPANHAMENTO="PLE",$Q53&lt;&gt;2),$E54=0),"Linha",1-SUM(T53:AF53)))</f>
        <v>0</v>
      </c>
      <c r="H53" s="209" t="str">
        <f ca="1">IF($E54=0,OFFSET(ORÇAMENTO!O$15,$E53,0),IF($E54&lt;&gt;-1,OFFSET(QCI!$D$13,$E54,0),""))</f>
        <v>4.4.</v>
      </c>
      <c r="I53" s="210" t="str">
        <f ca="1">IF($E54=0,OFFSET(ORÇAMENTO!R$15,$E53,0),IF($E54&lt;&gt;-1,OFFSET(QCI!$G$13,$E54,0),""))</f>
        <v>GRADIL METÁLICO</v>
      </c>
      <c r="J53" s="210"/>
      <c r="K53" s="210"/>
      <c r="L53" s="211">
        <f ca="1">IF($E54=0,OFFSET(ORÇAMENTO!C$15,$E53,0),1)</f>
        <v>2</v>
      </c>
      <c r="M53" s="212">
        <f ca="1">IF($E54=-1,0,IF(M$13&lt;=$L53,IF(ISERROR(MATCH(M$13,OFFSET($L53,1,0,ROW($L$113)-ROW($L53)-1),0)),ROW($L$113)-ROW($L53)-1,MATCH(M$13,OFFSET($L53,1,0,ROW($L$113)-ROW($L53)-1),0)-1),0))</f>
        <v>2</v>
      </c>
      <c r="N53" s="212">
        <f ca="1">IF($E54=-1,0,IF(N$13&lt;=$L53,IF(ISERROR(MATCH(N$13,OFFSET($L53,1,0,ROW($L$113)-ROW($L53)-1),0)),ROW($L$113)-ROW($L53)-1,MATCH(N$13,OFFSET($L53,1,0,ROW($L$113)-ROW($L53)-1),0)-1),0))</f>
        <v>5</v>
      </c>
      <c r="O53" s="212">
        <f ca="1">IF($E54=-1,0,IF(O$13&lt;=$L53,IF(ISERROR(MATCH(O$13,OFFSET($L53,1,0,ROW($L$113)-ROW($L53)-1),0)),ROW($L$113)-ROW($L53)-1,MATCH(O$13,OFFSET($L53,1,0,ROW($L$113)-ROW($L53)-1),0)-1),0))</f>
        <v>0</v>
      </c>
      <c r="P53" s="212">
        <f ca="1">IF($E54=-1,0,IF(P$13&lt;=$L53,IF(ISERROR(MATCH(P$13,OFFSET($L53,1,0,ROW($L$113)-ROW($L53)-1),0)),ROW($L$113)-ROW($L53)-1,MATCH(P$13,OFFSET($L53,1,0,ROW($L$113)-ROW($L53)-1),0)-1),0))</f>
        <v>0</v>
      </c>
      <c r="Q53" s="212">
        <f t="shared" ref="Q53" ca="1" si="96">MIN(OFFSET(L53,0,1,,L53))</f>
        <v>2</v>
      </c>
      <c r="R53" s="213">
        <f ca="1">IF($E54=0,OFFSET(ORÇAMENTO!X$15,$E53,0),IF($E54&lt;&gt;-1,OFFSET(QCI!$O$13,$E54,0),""))</f>
        <v>9511.85</v>
      </c>
      <c r="S53" s="214" t="s">
        <v>270</v>
      </c>
      <c r="T53" s="215">
        <f t="shared" ref="T53:AE53" ca="1" si="97">IF(AND($Q53=2,ACOMPANHAMENTO="BM"),T54,T55/$R53)</f>
        <v>0</v>
      </c>
      <c r="U53" s="207">
        <f t="shared" ca="1" si="97"/>
        <v>0</v>
      </c>
      <c r="V53" s="207">
        <f t="shared" ca="1" si="97"/>
        <v>1</v>
      </c>
      <c r="W53" s="207">
        <f t="shared" ca="1" si="97"/>
        <v>0</v>
      </c>
      <c r="X53" s="207">
        <f t="shared" ca="1" si="97"/>
        <v>0</v>
      </c>
      <c r="Y53" s="207">
        <f t="shared" ca="1" si="97"/>
        <v>0</v>
      </c>
      <c r="Z53" s="207">
        <f t="shared" ca="1" si="97"/>
        <v>0</v>
      </c>
      <c r="AA53" s="207">
        <f t="shared" ca="1" si="97"/>
        <v>0</v>
      </c>
      <c r="AB53" s="207">
        <f t="shared" ca="1" si="97"/>
        <v>0</v>
      </c>
      <c r="AC53" s="207">
        <f t="shared" ca="1" si="97"/>
        <v>0</v>
      </c>
      <c r="AD53" s="207">
        <f t="shared" ca="1" si="97"/>
        <v>0</v>
      </c>
      <c r="AE53" s="216">
        <f t="shared" ca="1" si="97"/>
        <v>0</v>
      </c>
    </row>
    <row r="54" spans="1:32" ht="12.75" customHeight="1" x14ac:dyDescent="0.2">
      <c r="D54" s="569"/>
      <c r="E54" s="204">
        <f ca="1">IF(ISERROR(E53),IF(1+COUNTIF($L$13:OFFSET(L53,-1,0),1)&lt;=MAX(QCI!$D$13:$D$24),1+COUNTIF($L$13:OFFSET(L53,-1,0),1),-1),0)</f>
        <v>0</v>
      </c>
      <c r="F54" s="204" t="str">
        <f t="shared" ref="F54" ca="1" si="98">IF(AND($E54&lt;&gt;-1,$R53&gt;0),"F","")</f>
        <v>F</v>
      </c>
      <c r="G54" s="217" t="str">
        <f ca="1">IF(OR(R53=0,R53=""),"vazia",IF(AND(OR(ACOMPANHAMENTO="PLE",$Q53&lt;&gt;2),$E54=0),"calculada","--&gt;"))</f>
        <v>--&gt;</v>
      </c>
      <c r="H54" s="218"/>
      <c r="I54" s="219" t="str">
        <f t="shared" ref="I54" ca="1" si="99">IF(AND(G53&lt;&gt;0,ISNUMBER(G53)),"PREENCHA ESTA LINHA --&gt;","")</f>
        <v/>
      </c>
      <c r="J54" s="219"/>
      <c r="K54" s="219"/>
      <c r="L54" s="220"/>
      <c r="M54" s="220"/>
      <c r="N54" s="220"/>
      <c r="O54" s="220"/>
      <c r="P54" s="220"/>
      <c r="Q54" s="220"/>
      <c r="R54" s="221"/>
      <c r="S54" s="222"/>
      <c r="T54" s="570"/>
      <c r="U54" s="569"/>
      <c r="V54" s="569">
        <v>1</v>
      </c>
      <c r="W54" s="569"/>
      <c r="X54" s="569"/>
      <c r="Y54" s="569"/>
      <c r="Z54" s="569"/>
      <c r="AA54" s="569"/>
      <c r="AB54" s="569"/>
      <c r="AC54" s="569"/>
      <c r="AD54" s="569"/>
      <c r="AE54" s="571"/>
      <c r="AF54" s="533"/>
    </row>
    <row r="55" spans="1:32" ht="0.2" hidden="1" customHeight="1" x14ac:dyDescent="0.2">
      <c r="D55" s="223">
        <f ca="1">IF($Q53=2,IF(AND(ACOMPANHAMENTO="PLE",ISNUMBER($E53)),SUMIF((OFFSET(CÁLCULO!$AM$15:$AW$15,$E53,0,OFFSET(ORÇAMENTO!$D$15,CRONO!$E53,0))),"="&amp;CRONO!D$12,OFFSET(CÁLCULO!$AB$15:$AL$15,$E53,0,OFFSET(ORÇAMENTO!$D$15,CRONO!$E53,0)))+IF(AND($E55&lt;&gt;"",$E55&lt;&gt;0),SUMIF(CÁLCULO!$AM$15:$AW$165,"="&amp;CRONO!D$12,CÁLCULO!$AB$15:$AL$165)/(ORÇAMENTO!$X$15-CÁLCULO.TotalAdmLocal)*CRONO!$E55,0),D54*$R53),SUMIF(OFFSET($R55,1,0,$Q53-2),($L53+1)&amp;"$",OFFSET(D55,1,0,$Q53-2)))</f>
        <v>0</v>
      </c>
      <c r="E55" s="204" t="str">
        <f ca="1">IF(OR($Q53&lt;&gt;2,AUTOEVENTO&lt;&gt;"manual",$E54&gt;0),"",SUMIF(OFFSET(CÁLCULO!$M$15,CRONO!$E53,0,OFFSET(ORÇAMENTO!$D$15,CRONO!$E53,0)),1,OFFSET(ORÇAMENTO!$X$15,CRONO!$E53,0,OFFSET(ORÇAMENTO!$D$15,CRONO!$E53,0))))</f>
        <v/>
      </c>
      <c r="G55" s="224"/>
      <c r="R55" s="225" t="str">
        <f t="shared" ref="R55" ca="1" si="100">L53&amp;"$"</f>
        <v>2$</v>
      </c>
      <c r="S55" s="226"/>
      <c r="T55" s="227">
        <f ca="1">IF($Q53=2,IF(AND(ACOMPANHAMENTO="PLE",ISNUMBER($E53)),SUMIF((OFFSET(CÁLCULO!$AM$15:$AW$15,$E53,0,OFFSET(ORÇAMENTO!$D$15,CRONO!$E53,0))),"&lt;="&amp;CRONO!T$12,OFFSET(CÁLCULO!$AB$15:$AL$15,$E53,0,OFFSET(ORÇAMENTO!$D$15,CRONO!$E53,0)))+IF(AND($E55&lt;&gt;"",$E55&lt;&gt;0),SUMIF(CÁLCULO!$AM$15:$AW$165,"&lt;="&amp;CRONO!T$12,CÁLCULO!$AB$15:$AL$165)/(ORÇAMENTO!$X$15-CÁLCULO.TotalAdmLocal)*CRONO!$E55,0),T54*$R53),SUMIF(OFFSET($R55,1,0,$Q53-2),($L53+1)&amp;"$",OFFSET(T55,1,0,$Q53-2)))</f>
        <v>0</v>
      </c>
      <c r="U55" s="223">
        <f ca="1">IF($Q53=2,IF(AND(ACOMPANHAMENTO="PLE",ISNUMBER($E53)),SUMIF((OFFSET(CÁLCULO!$AM$15:$AW$15,$E53,0,OFFSET(ORÇAMENTO!$D$15,CRONO!$E53,0))),"="&amp;CRONO!U$12,OFFSET(CÁLCULO!$AB$15:$AL$15,$E53,0,OFFSET(ORÇAMENTO!$D$15,CRONO!$E53,0)))+IF(AND($E55&lt;&gt;"",$E55&lt;&gt;0),SUMIF(CÁLCULO!$AM$15:$AW$165,"="&amp;CRONO!U$12,CÁLCULO!$AB$15:$AL$165)/(ORÇAMENTO!$X$15-CÁLCULO.TotalAdmLocal)*CRONO!$E55,0),U54*$R53),SUMIF(OFFSET($R55,1,0,$Q53-2),($L53+1)&amp;"$",OFFSET(U55,1,0,$Q53-2)))</f>
        <v>0</v>
      </c>
      <c r="V55" s="223">
        <f ca="1">IF($Q53=2,IF(AND(ACOMPANHAMENTO="PLE",ISNUMBER($E53)),SUMIF((OFFSET(CÁLCULO!$AM$15:$AW$15,$E53,0,OFFSET(ORÇAMENTO!$D$15,CRONO!$E53,0))),"="&amp;CRONO!V$12,OFFSET(CÁLCULO!$AB$15:$AL$15,$E53,0,OFFSET(ORÇAMENTO!$D$15,CRONO!$E53,0)))+IF(AND($E55&lt;&gt;"",$E55&lt;&gt;0),SUMIF(CÁLCULO!$AM$15:$AW$165,"="&amp;CRONO!V$12,CÁLCULO!$AB$15:$AL$165)/(ORÇAMENTO!$X$15-CÁLCULO.TotalAdmLocal)*CRONO!$E55,0),V54*$R53),SUMIF(OFFSET($R55,1,0,$Q53-2),($L53+1)&amp;"$",OFFSET(V55,1,0,$Q53-2)))</f>
        <v>9511.85</v>
      </c>
      <c r="W55" s="223">
        <f ca="1">IF($Q53=2,IF(AND(ACOMPANHAMENTO="PLE",ISNUMBER($E53)),SUMIF((OFFSET(CÁLCULO!$AM$15:$AW$15,$E53,0,OFFSET(ORÇAMENTO!$D$15,CRONO!$E53,0))),"="&amp;CRONO!W$12,OFFSET(CÁLCULO!$AB$15:$AL$15,$E53,0,OFFSET(ORÇAMENTO!$D$15,CRONO!$E53,0)))+IF(AND($E55&lt;&gt;"",$E55&lt;&gt;0),SUMIF(CÁLCULO!$AM$15:$AW$165,"="&amp;CRONO!W$12,CÁLCULO!$AB$15:$AL$165)/(ORÇAMENTO!$X$15-CÁLCULO.TotalAdmLocal)*CRONO!$E55,0),W54*$R53),SUMIF(OFFSET($R55,1,0,$Q53-2),($L53+1)&amp;"$",OFFSET(W55,1,0,$Q53-2)))</f>
        <v>0</v>
      </c>
      <c r="X55" s="223">
        <f ca="1">IF($Q53=2,IF(AND(ACOMPANHAMENTO="PLE",ISNUMBER($E53)),SUMIF((OFFSET(CÁLCULO!$AM$15:$AW$15,$E53,0,OFFSET(ORÇAMENTO!$D$15,CRONO!$E53,0))),"="&amp;CRONO!X$12,OFFSET(CÁLCULO!$AB$15:$AL$15,$E53,0,OFFSET(ORÇAMENTO!$D$15,CRONO!$E53,0)))+IF(AND($E55&lt;&gt;"",$E55&lt;&gt;0),SUMIF(CÁLCULO!$AM$15:$AW$165,"="&amp;CRONO!X$12,CÁLCULO!$AB$15:$AL$165)/(ORÇAMENTO!$X$15-CÁLCULO.TotalAdmLocal)*CRONO!$E55,0),X54*$R53),SUMIF(OFFSET($R55,1,0,$Q53-2),($L53+1)&amp;"$",OFFSET(X55,1,0,$Q53-2)))</f>
        <v>0</v>
      </c>
      <c r="Y55" s="223">
        <f ca="1">IF($Q53=2,IF(AND(ACOMPANHAMENTO="PLE",ISNUMBER($E53)),SUMIF((OFFSET(CÁLCULO!$AM$15:$AW$15,$E53,0,OFFSET(ORÇAMENTO!$D$15,CRONO!$E53,0))),"="&amp;CRONO!Y$12,OFFSET(CÁLCULO!$AB$15:$AL$15,$E53,0,OFFSET(ORÇAMENTO!$D$15,CRONO!$E53,0)))+IF(AND($E55&lt;&gt;"",$E55&lt;&gt;0),SUMIF(CÁLCULO!$AM$15:$AW$165,"="&amp;CRONO!Y$12,CÁLCULO!$AB$15:$AL$165)/(ORÇAMENTO!$X$15-CÁLCULO.TotalAdmLocal)*CRONO!$E55,0),Y54*$R53),SUMIF(OFFSET($R55,1,0,$Q53-2),($L53+1)&amp;"$",OFFSET(Y55,1,0,$Q53-2)))</f>
        <v>0</v>
      </c>
      <c r="Z55" s="223">
        <f ca="1">IF($Q53=2,IF(AND(ACOMPANHAMENTO="PLE",ISNUMBER($E53)),SUMIF((OFFSET(CÁLCULO!$AM$15:$AW$15,$E53,0,OFFSET(ORÇAMENTO!$D$15,CRONO!$E53,0))),"="&amp;CRONO!Z$12,OFFSET(CÁLCULO!$AB$15:$AL$15,$E53,0,OFFSET(ORÇAMENTO!$D$15,CRONO!$E53,0)))+IF(AND($E55&lt;&gt;"",$E55&lt;&gt;0),SUMIF(CÁLCULO!$AM$15:$AW$165,"="&amp;CRONO!Z$12,CÁLCULO!$AB$15:$AL$165)/(ORÇAMENTO!$X$15-CÁLCULO.TotalAdmLocal)*CRONO!$E55,0),Z54*$R53),SUMIF(OFFSET($R55,1,0,$Q53-2),($L53+1)&amp;"$",OFFSET(Z55,1,0,$Q53-2)))</f>
        <v>0</v>
      </c>
      <c r="AA55" s="223">
        <f ca="1">IF($Q53=2,IF(AND(ACOMPANHAMENTO="PLE",ISNUMBER($E53)),SUMIF((OFFSET(CÁLCULO!$AM$15:$AW$15,$E53,0,OFFSET(ORÇAMENTO!$D$15,CRONO!$E53,0))),"="&amp;CRONO!AA$12,OFFSET(CÁLCULO!$AB$15:$AL$15,$E53,0,OFFSET(ORÇAMENTO!$D$15,CRONO!$E53,0)))+IF(AND($E55&lt;&gt;"",$E55&lt;&gt;0),SUMIF(CÁLCULO!$AM$15:$AW$165,"="&amp;CRONO!AA$12,CÁLCULO!$AB$15:$AL$165)/(ORÇAMENTO!$X$15-CÁLCULO.TotalAdmLocal)*CRONO!$E55,0),AA54*$R53),SUMIF(OFFSET($R55,1,0,$Q53-2),($L53+1)&amp;"$",OFFSET(AA55,1,0,$Q53-2)))</f>
        <v>0</v>
      </c>
      <c r="AB55" s="223">
        <f ca="1">IF($Q53=2,IF(AND(ACOMPANHAMENTO="PLE",ISNUMBER($E53)),SUMIF((OFFSET(CÁLCULO!$AM$15:$AW$15,$E53,0,OFFSET(ORÇAMENTO!$D$15,CRONO!$E53,0))),"="&amp;CRONO!AB$12,OFFSET(CÁLCULO!$AB$15:$AL$15,$E53,0,OFFSET(ORÇAMENTO!$D$15,CRONO!$E53,0)))+IF(AND($E55&lt;&gt;"",$E55&lt;&gt;0),SUMIF(CÁLCULO!$AM$15:$AW$165,"="&amp;CRONO!AB$12,CÁLCULO!$AB$15:$AL$165)/(ORÇAMENTO!$X$15-CÁLCULO.TotalAdmLocal)*CRONO!$E55,0),AB54*$R53),SUMIF(OFFSET($R55,1,0,$Q53-2),($L53+1)&amp;"$",OFFSET(AB55,1,0,$Q53-2)))</f>
        <v>0</v>
      </c>
      <c r="AC55" s="223">
        <f ca="1">IF($Q53=2,IF(AND(ACOMPANHAMENTO="PLE",ISNUMBER($E53)),SUMIF((OFFSET(CÁLCULO!$AM$15:$AW$15,$E53,0,OFFSET(ORÇAMENTO!$D$15,CRONO!$E53,0))),"="&amp;CRONO!AC$12,OFFSET(CÁLCULO!$AB$15:$AL$15,$E53,0,OFFSET(ORÇAMENTO!$D$15,CRONO!$E53,0)))+IF(AND($E55&lt;&gt;"",$E55&lt;&gt;0),SUMIF(CÁLCULO!$AM$15:$AW$165,"="&amp;CRONO!AC$12,CÁLCULO!$AB$15:$AL$165)/(ORÇAMENTO!$X$15-CÁLCULO.TotalAdmLocal)*CRONO!$E55,0),AC54*$R53),SUMIF(OFFSET($R55,1,0,$Q53-2),($L53+1)&amp;"$",OFFSET(AC55,1,0,$Q53-2)))</f>
        <v>0</v>
      </c>
      <c r="AD55" s="223">
        <f ca="1">IF($Q53=2,IF(AND(ACOMPANHAMENTO="PLE",ISNUMBER($E53)),SUMIF((OFFSET(CÁLCULO!$AM$15:$AW$15,$E53,0,OFFSET(ORÇAMENTO!$D$15,CRONO!$E53,0))),"="&amp;CRONO!AD$12,OFFSET(CÁLCULO!$AB$15:$AL$15,$E53,0,OFFSET(ORÇAMENTO!$D$15,CRONO!$E53,0)))+IF(AND($E55&lt;&gt;"",$E55&lt;&gt;0),SUMIF(CÁLCULO!$AM$15:$AW$165,"="&amp;CRONO!AD$12,CÁLCULO!$AB$15:$AL$165)/(ORÇAMENTO!$X$15-CÁLCULO.TotalAdmLocal)*CRONO!$E55,0),AD54*$R53),SUMIF(OFFSET($R55,1,0,$Q53-2),($L53+1)&amp;"$",OFFSET(AD55,1,0,$Q53-2)))</f>
        <v>0</v>
      </c>
      <c r="AE55" s="228">
        <f ca="1">IF($Q53=2,IF(AND(ACOMPANHAMENTO="PLE",ISNUMBER($E53)),SUMIF((OFFSET(CÁLCULO!$AM$15:$AW$15,$E53,0,OFFSET(ORÇAMENTO!$D$15,CRONO!$E53,0))),"="&amp;CRONO!AE$12,OFFSET(CÁLCULO!$AB$15:$AL$15,$E53,0,OFFSET(ORÇAMENTO!$D$15,CRONO!$E53,0)))+IF(AND($E55&lt;&gt;"",$E55&lt;&gt;0),SUMIF(CÁLCULO!$AM$15:$AW$165,"="&amp;CRONO!AE$12,CÁLCULO!$AB$15:$AL$165)/(ORÇAMENTO!$X$15-CÁLCULO.TotalAdmLocal)*CRONO!$E55,0),AE54*$R53),SUMIF(OFFSET($R55,1,0,$Q53-2),($L53+1)&amp;"$",OFFSET(AE55,1,0,$Q53-2)))</f>
        <v>0</v>
      </c>
    </row>
    <row r="56" spans="1:32" x14ac:dyDescent="0.2">
      <c r="A56" s="204">
        <f t="shared" ref="A56" ca="1" si="101">OFFSET(A56,-3,0)+1</f>
        <v>15</v>
      </c>
      <c r="B56" s="204">
        <f ca="1">IF($Q56&lt;&gt;2,0,IF($R56=0,1,IF(E57&gt;0,OFFSET(QCI!$M$13,SUBSTITUTE(E57,".",""),0),OFFSET(ORÇAMENTO!$AA$15,CRONO!$E56,0))/$R56))</f>
        <v>0</v>
      </c>
      <c r="C56" s="204">
        <f ca="1">IF($Q56&lt;&gt;2,0,IF($R56=0,1,IF(E57&gt;0,OFFSET(QCI!$N$13,SUBSTITUTE(E57,".",""),0),OFFSET(ORÇAMENTO!$AB$15,CRONO!$E56,0))/$R56))</f>
        <v>0</v>
      </c>
      <c r="D56" s="207">
        <f ca="1">IF(AND($Q56=2,ACOMPANHAMENTO="BM"),D57,D58/$R56)</f>
        <v>0</v>
      </c>
      <c r="E56" s="204">
        <f ca="1">IF(A56&lt;=ORÇAMENTO.MáximoListaCrono,MATCH(A56,ORÇAMENTO.ListaCrono,0),NA())</f>
        <v>55</v>
      </c>
      <c r="F56" s="204" t="str">
        <f t="shared" ref="F56" ca="1" si="102">IF(AND($E57&lt;&gt;-1,$R56&gt;0),"F","")</f>
        <v>F</v>
      </c>
      <c r="G56" s="208" t="str">
        <f ca="1">IF(OR(R56=0,R56=""),"Linha",IF(AND(OR(ACOMPANHAMENTO="PLE",$Q56&lt;&gt;2),$E57=0),"Linha",1-SUM(T56:AF56)))</f>
        <v>Linha</v>
      </c>
      <c r="H56" s="209" t="str">
        <f ca="1">IF($E57=0,OFFSET(ORÇAMENTO!O$15,$E56,0),IF($E57&lt;&gt;-1,OFFSET(QCI!$D$13,$E57,0),""))</f>
        <v>5.</v>
      </c>
      <c r="I56" s="210" t="str">
        <f ca="1">IF($E57=0,OFFSET(ORÇAMENTO!R$15,$E56,0),IF($E57&lt;&gt;-1,OFFSET(QCI!$G$13,$E57,0),""))</f>
        <v xml:space="preserve">COBERTURA </v>
      </c>
      <c r="J56" s="210"/>
      <c r="K56" s="210"/>
      <c r="L56" s="211">
        <f ca="1">IF($E57=0,OFFSET(ORÇAMENTO!C$15,$E56,0),1)</f>
        <v>1</v>
      </c>
      <c r="M56" s="212">
        <f ca="1">IF($E57=-1,0,IF(M$13&lt;=$L56,IF(ISERROR(MATCH(M$13,OFFSET($L56,1,0,ROW($L$113)-ROW($L56)-1),0)),ROW($L$113)-ROW($L56)-1,MATCH(M$13,OFFSET($L56,1,0,ROW($L$113)-ROW($L56)-1),0)-1),0))</f>
        <v>8</v>
      </c>
      <c r="N56" s="212">
        <f ca="1">IF($E57=-1,0,IF(N$13&lt;=$L56,IF(ISERROR(MATCH(N$13,OFFSET($L56,1,0,ROW($L$113)-ROW($L56)-1),0)),ROW($L$113)-ROW($L56)-1,MATCH(N$13,OFFSET($L56,1,0,ROW($L$113)-ROW($L56)-1),0)-1),0))</f>
        <v>0</v>
      </c>
      <c r="O56" s="212">
        <f ca="1">IF($E57=-1,0,IF(O$13&lt;=$L56,IF(ISERROR(MATCH(O$13,OFFSET($L56,1,0,ROW($L$113)-ROW($L56)-1),0)),ROW($L$113)-ROW($L56)-1,MATCH(O$13,OFFSET($L56,1,0,ROW($L$113)-ROW($L56)-1),0)-1),0))</f>
        <v>0</v>
      </c>
      <c r="P56" s="212">
        <f ca="1">IF($E57=-1,0,IF(P$13&lt;=$L56,IF(ISERROR(MATCH(P$13,OFFSET($L56,1,0,ROW($L$113)-ROW($L56)-1),0)),ROW($L$113)-ROW($L56)-1,MATCH(P$13,OFFSET($L56,1,0,ROW($L$113)-ROW($L56)-1),0)-1),0))</f>
        <v>0</v>
      </c>
      <c r="Q56" s="212">
        <f t="shared" ref="Q56" ca="1" si="103">MIN(OFFSET(L56,0,1,,L56))</f>
        <v>8</v>
      </c>
      <c r="R56" s="213">
        <f ca="1">IF($E57=0,OFFSET(ORÇAMENTO!X$15,$E56,0),IF($E57&lt;&gt;-1,OFFSET(QCI!$O$13,$E57,0),""))</f>
        <v>51996.85</v>
      </c>
      <c r="S56" s="214" t="s">
        <v>270</v>
      </c>
      <c r="T56" s="215">
        <f t="shared" ref="T56:AE56" ca="1" si="104">IF(AND($Q56=2,ACOMPANHAMENTO="BM"),T57,T58/$R56)</f>
        <v>0</v>
      </c>
      <c r="U56" s="207">
        <f t="shared" ca="1" si="104"/>
        <v>0.5</v>
      </c>
      <c r="V56" s="207">
        <f t="shared" ca="1" si="104"/>
        <v>0.5</v>
      </c>
      <c r="W56" s="207">
        <f t="shared" ca="1" si="104"/>
        <v>0</v>
      </c>
      <c r="X56" s="207">
        <f t="shared" ca="1" si="104"/>
        <v>0</v>
      </c>
      <c r="Y56" s="207">
        <f t="shared" ca="1" si="104"/>
        <v>0</v>
      </c>
      <c r="Z56" s="207">
        <f t="shared" ca="1" si="104"/>
        <v>0</v>
      </c>
      <c r="AA56" s="207">
        <f t="shared" ca="1" si="104"/>
        <v>0</v>
      </c>
      <c r="AB56" s="207">
        <f t="shared" ca="1" si="104"/>
        <v>0</v>
      </c>
      <c r="AC56" s="207">
        <f t="shared" ca="1" si="104"/>
        <v>0</v>
      </c>
      <c r="AD56" s="207">
        <f t="shared" ca="1" si="104"/>
        <v>0</v>
      </c>
      <c r="AE56" s="216">
        <f t="shared" ca="1" si="104"/>
        <v>0</v>
      </c>
    </row>
    <row r="57" spans="1:32" ht="12.75" customHeight="1" x14ac:dyDescent="0.2">
      <c r="D57" s="569"/>
      <c r="E57" s="204">
        <f ca="1">IF(ISERROR(E56),IF(1+COUNTIF($L$13:OFFSET(L56,-1,0),1)&lt;=MAX(QCI!$D$13:$D$24),1+COUNTIF($L$13:OFFSET(L56,-1,0),1),-1),0)</f>
        <v>0</v>
      </c>
      <c r="F57" s="204" t="str">
        <f t="shared" ref="F57" ca="1" si="105">IF(AND($E57&lt;&gt;-1,$R56&gt;0),"F","")</f>
        <v>F</v>
      </c>
      <c r="G57" s="217" t="str">
        <f ca="1">IF(OR(R56=0,R56=""),"vazia",IF(AND(OR(ACOMPANHAMENTO="PLE",$Q56&lt;&gt;2),$E57=0),"calculada","--&gt;"))</f>
        <v>calculada</v>
      </c>
      <c r="H57" s="218"/>
      <c r="I57" s="219" t="str">
        <f t="shared" ref="I57" ca="1" si="106">IF(AND(G56&lt;&gt;0,ISNUMBER(G56)),"PREENCHA ESTA LINHA --&gt;","")</f>
        <v/>
      </c>
      <c r="J57" s="219"/>
      <c r="K57" s="219"/>
      <c r="L57" s="220"/>
      <c r="M57" s="220"/>
      <c r="N57" s="220"/>
      <c r="O57" s="220"/>
      <c r="P57" s="220"/>
      <c r="Q57" s="220"/>
      <c r="R57" s="221"/>
      <c r="S57" s="222"/>
      <c r="T57" s="570"/>
      <c r="U57" s="569">
        <v>1</v>
      </c>
      <c r="V57" s="569"/>
      <c r="W57" s="569"/>
      <c r="X57" s="569"/>
      <c r="Y57" s="569"/>
      <c r="Z57" s="569"/>
      <c r="AA57" s="569"/>
      <c r="AB57" s="569"/>
      <c r="AC57" s="569"/>
      <c r="AD57" s="569"/>
      <c r="AE57" s="571"/>
      <c r="AF57" s="533"/>
    </row>
    <row r="58" spans="1:32" ht="0.2" hidden="1" customHeight="1" x14ac:dyDescent="0.2">
      <c r="D58" s="223">
        <f ca="1">IF($Q56=2,IF(AND(ACOMPANHAMENTO="PLE",ISNUMBER($E56)),SUMIF((OFFSET(CÁLCULO!$AM$15:$AW$15,$E56,0,OFFSET(ORÇAMENTO!$D$15,CRONO!$E56,0))),"="&amp;CRONO!D$12,OFFSET(CÁLCULO!$AB$15:$AL$15,$E56,0,OFFSET(ORÇAMENTO!$D$15,CRONO!$E56,0)))+IF(AND($E58&lt;&gt;"",$E58&lt;&gt;0),SUMIF(CÁLCULO!$AM$15:$AW$165,"="&amp;CRONO!D$12,CÁLCULO!$AB$15:$AL$165)/(ORÇAMENTO!$X$15-CÁLCULO.TotalAdmLocal)*CRONO!$E58,0),D57*$R56),SUMIF(OFFSET($R58,1,0,$Q56-2),($L56+1)&amp;"$",OFFSET(D58,1,0,$Q56-2)))</f>
        <v>0</v>
      </c>
      <c r="E58" s="204" t="str">
        <f ca="1">IF(OR($Q56&lt;&gt;2,AUTOEVENTO&lt;&gt;"manual",$E57&gt;0),"",SUMIF(OFFSET(CÁLCULO!$M$15,CRONO!$E56,0,OFFSET(ORÇAMENTO!$D$15,CRONO!$E56,0)),1,OFFSET(ORÇAMENTO!$X$15,CRONO!$E56,0,OFFSET(ORÇAMENTO!$D$15,CRONO!$E56,0))))</f>
        <v/>
      </c>
      <c r="G58" s="224"/>
      <c r="R58" s="225" t="str">
        <f t="shared" ref="R58" ca="1" si="107">L56&amp;"$"</f>
        <v>1$</v>
      </c>
      <c r="S58" s="226"/>
      <c r="T58" s="227">
        <f ca="1">IF($Q56=2,IF(AND(ACOMPANHAMENTO="PLE",ISNUMBER($E56)),SUMIF((OFFSET(CÁLCULO!$AM$15:$AW$15,$E56,0,OFFSET(ORÇAMENTO!$D$15,CRONO!$E56,0))),"&lt;="&amp;CRONO!T$12,OFFSET(CÁLCULO!$AB$15:$AL$15,$E56,0,OFFSET(ORÇAMENTO!$D$15,CRONO!$E56,0)))+IF(AND($E58&lt;&gt;"",$E58&lt;&gt;0),SUMIF(CÁLCULO!$AM$15:$AW$165,"&lt;="&amp;CRONO!T$12,CÁLCULO!$AB$15:$AL$165)/(ORÇAMENTO!$X$15-CÁLCULO.TotalAdmLocal)*CRONO!$E58,0),T57*$R56),SUMIF(OFFSET($R58,1,0,$Q56-2),($L56+1)&amp;"$",OFFSET(T58,1,0,$Q56-2)))</f>
        <v>0</v>
      </c>
      <c r="U58" s="223">
        <f ca="1">IF($Q56=2,IF(AND(ACOMPANHAMENTO="PLE",ISNUMBER($E56)),SUMIF((OFFSET(CÁLCULO!$AM$15:$AW$15,$E56,0,OFFSET(ORÇAMENTO!$D$15,CRONO!$E56,0))),"="&amp;CRONO!U$12,OFFSET(CÁLCULO!$AB$15:$AL$15,$E56,0,OFFSET(ORÇAMENTO!$D$15,CRONO!$E56,0)))+IF(AND($E58&lt;&gt;"",$E58&lt;&gt;0),SUMIF(CÁLCULO!$AM$15:$AW$165,"="&amp;CRONO!U$12,CÁLCULO!$AB$15:$AL$165)/(ORÇAMENTO!$X$15-CÁLCULO.TotalAdmLocal)*CRONO!$E58,0),U57*$R56),SUMIF(OFFSET($R58,1,0,$Q56-2),($L56+1)&amp;"$",OFFSET(U58,1,0,$Q56-2)))</f>
        <v>25998.424999999999</v>
      </c>
      <c r="V58" s="223">
        <f ca="1">IF($Q56=2,IF(AND(ACOMPANHAMENTO="PLE",ISNUMBER($E56)),SUMIF((OFFSET(CÁLCULO!$AM$15:$AW$15,$E56,0,OFFSET(ORÇAMENTO!$D$15,CRONO!$E56,0))),"="&amp;CRONO!V$12,OFFSET(CÁLCULO!$AB$15:$AL$15,$E56,0,OFFSET(ORÇAMENTO!$D$15,CRONO!$E56,0)))+IF(AND($E58&lt;&gt;"",$E58&lt;&gt;0),SUMIF(CÁLCULO!$AM$15:$AW$165,"="&amp;CRONO!V$12,CÁLCULO!$AB$15:$AL$165)/(ORÇAMENTO!$X$15-CÁLCULO.TotalAdmLocal)*CRONO!$E58,0),V57*$R56),SUMIF(OFFSET($R58,1,0,$Q56-2),($L56+1)&amp;"$",OFFSET(V58,1,0,$Q56-2)))</f>
        <v>25998.424999999999</v>
      </c>
      <c r="W58" s="223">
        <f ca="1">IF($Q56=2,IF(AND(ACOMPANHAMENTO="PLE",ISNUMBER($E56)),SUMIF((OFFSET(CÁLCULO!$AM$15:$AW$15,$E56,0,OFFSET(ORÇAMENTO!$D$15,CRONO!$E56,0))),"="&amp;CRONO!W$12,OFFSET(CÁLCULO!$AB$15:$AL$15,$E56,0,OFFSET(ORÇAMENTO!$D$15,CRONO!$E56,0)))+IF(AND($E58&lt;&gt;"",$E58&lt;&gt;0),SUMIF(CÁLCULO!$AM$15:$AW$165,"="&amp;CRONO!W$12,CÁLCULO!$AB$15:$AL$165)/(ORÇAMENTO!$X$15-CÁLCULO.TotalAdmLocal)*CRONO!$E58,0),W57*$R56),SUMIF(OFFSET($R58,1,0,$Q56-2),($L56+1)&amp;"$",OFFSET(W58,1,0,$Q56-2)))</f>
        <v>0</v>
      </c>
      <c r="X58" s="223">
        <f ca="1">IF($Q56=2,IF(AND(ACOMPANHAMENTO="PLE",ISNUMBER($E56)),SUMIF((OFFSET(CÁLCULO!$AM$15:$AW$15,$E56,0,OFFSET(ORÇAMENTO!$D$15,CRONO!$E56,0))),"="&amp;CRONO!X$12,OFFSET(CÁLCULO!$AB$15:$AL$15,$E56,0,OFFSET(ORÇAMENTO!$D$15,CRONO!$E56,0)))+IF(AND($E58&lt;&gt;"",$E58&lt;&gt;0),SUMIF(CÁLCULO!$AM$15:$AW$165,"="&amp;CRONO!X$12,CÁLCULO!$AB$15:$AL$165)/(ORÇAMENTO!$X$15-CÁLCULO.TotalAdmLocal)*CRONO!$E58,0),X57*$R56),SUMIF(OFFSET($R58,1,0,$Q56-2),($L56+1)&amp;"$",OFFSET(X58,1,0,$Q56-2)))</f>
        <v>0</v>
      </c>
      <c r="Y58" s="223">
        <f ca="1">IF($Q56=2,IF(AND(ACOMPANHAMENTO="PLE",ISNUMBER($E56)),SUMIF((OFFSET(CÁLCULO!$AM$15:$AW$15,$E56,0,OFFSET(ORÇAMENTO!$D$15,CRONO!$E56,0))),"="&amp;CRONO!Y$12,OFFSET(CÁLCULO!$AB$15:$AL$15,$E56,0,OFFSET(ORÇAMENTO!$D$15,CRONO!$E56,0)))+IF(AND($E58&lt;&gt;"",$E58&lt;&gt;0),SUMIF(CÁLCULO!$AM$15:$AW$165,"="&amp;CRONO!Y$12,CÁLCULO!$AB$15:$AL$165)/(ORÇAMENTO!$X$15-CÁLCULO.TotalAdmLocal)*CRONO!$E58,0),Y57*$R56),SUMIF(OFFSET($R58,1,0,$Q56-2),($L56+1)&amp;"$",OFFSET(Y58,1,0,$Q56-2)))</f>
        <v>0</v>
      </c>
      <c r="Z58" s="223">
        <f ca="1">IF($Q56=2,IF(AND(ACOMPANHAMENTO="PLE",ISNUMBER($E56)),SUMIF((OFFSET(CÁLCULO!$AM$15:$AW$15,$E56,0,OFFSET(ORÇAMENTO!$D$15,CRONO!$E56,0))),"="&amp;CRONO!Z$12,OFFSET(CÁLCULO!$AB$15:$AL$15,$E56,0,OFFSET(ORÇAMENTO!$D$15,CRONO!$E56,0)))+IF(AND($E58&lt;&gt;"",$E58&lt;&gt;0),SUMIF(CÁLCULO!$AM$15:$AW$165,"="&amp;CRONO!Z$12,CÁLCULO!$AB$15:$AL$165)/(ORÇAMENTO!$X$15-CÁLCULO.TotalAdmLocal)*CRONO!$E58,0),Z57*$R56),SUMIF(OFFSET($R58,1,0,$Q56-2),($L56+1)&amp;"$",OFFSET(Z58,1,0,$Q56-2)))</f>
        <v>0</v>
      </c>
      <c r="AA58" s="223">
        <f ca="1">IF($Q56=2,IF(AND(ACOMPANHAMENTO="PLE",ISNUMBER($E56)),SUMIF((OFFSET(CÁLCULO!$AM$15:$AW$15,$E56,0,OFFSET(ORÇAMENTO!$D$15,CRONO!$E56,0))),"="&amp;CRONO!AA$12,OFFSET(CÁLCULO!$AB$15:$AL$15,$E56,0,OFFSET(ORÇAMENTO!$D$15,CRONO!$E56,0)))+IF(AND($E58&lt;&gt;"",$E58&lt;&gt;0),SUMIF(CÁLCULO!$AM$15:$AW$165,"="&amp;CRONO!AA$12,CÁLCULO!$AB$15:$AL$165)/(ORÇAMENTO!$X$15-CÁLCULO.TotalAdmLocal)*CRONO!$E58,0),AA57*$R56),SUMIF(OFFSET($R58,1,0,$Q56-2),($L56+1)&amp;"$",OFFSET(AA58,1,0,$Q56-2)))</f>
        <v>0</v>
      </c>
      <c r="AB58" s="223">
        <f ca="1">IF($Q56=2,IF(AND(ACOMPANHAMENTO="PLE",ISNUMBER($E56)),SUMIF((OFFSET(CÁLCULO!$AM$15:$AW$15,$E56,0,OFFSET(ORÇAMENTO!$D$15,CRONO!$E56,0))),"="&amp;CRONO!AB$12,OFFSET(CÁLCULO!$AB$15:$AL$15,$E56,0,OFFSET(ORÇAMENTO!$D$15,CRONO!$E56,0)))+IF(AND($E58&lt;&gt;"",$E58&lt;&gt;0),SUMIF(CÁLCULO!$AM$15:$AW$165,"="&amp;CRONO!AB$12,CÁLCULO!$AB$15:$AL$165)/(ORÇAMENTO!$X$15-CÁLCULO.TotalAdmLocal)*CRONO!$E58,0),AB57*$R56),SUMIF(OFFSET($R58,1,0,$Q56-2),($L56+1)&amp;"$",OFFSET(AB58,1,0,$Q56-2)))</f>
        <v>0</v>
      </c>
      <c r="AC58" s="223">
        <f ca="1">IF($Q56=2,IF(AND(ACOMPANHAMENTO="PLE",ISNUMBER($E56)),SUMIF((OFFSET(CÁLCULO!$AM$15:$AW$15,$E56,0,OFFSET(ORÇAMENTO!$D$15,CRONO!$E56,0))),"="&amp;CRONO!AC$12,OFFSET(CÁLCULO!$AB$15:$AL$15,$E56,0,OFFSET(ORÇAMENTO!$D$15,CRONO!$E56,0)))+IF(AND($E58&lt;&gt;"",$E58&lt;&gt;0),SUMIF(CÁLCULO!$AM$15:$AW$165,"="&amp;CRONO!AC$12,CÁLCULO!$AB$15:$AL$165)/(ORÇAMENTO!$X$15-CÁLCULO.TotalAdmLocal)*CRONO!$E58,0),AC57*$R56),SUMIF(OFFSET($R58,1,0,$Q56-2),($L56+1)&amp;"$",OFFSET(AC58,1,0,$Q56-2)))</f>
        <v>0</v>
      </c>
      <c r="AD58" s="223">
        <f ca="1">IF($Q56=2,IF(AND(ACOMPANHAMENTO="PLE",ISNUMBER($E56)),SUMIF((OFFSET(CÁLCULO!$AM$15:$AW$15,$E56,0,OFFSET(ORÇAMENTO!$D$15,CRONO!$E56,0))),"="&amp;CRONO!AD$12,OFFSET(CÁLCULO!$AB$15:$AL$15,$E56,0,OFFSET(ORÇAMENTO!$D$15,CRONO!$E56,0)))+IF(AND($E58&lt;&gt;"",$E58&lt;&gt;0),SUMIF(CÁLCULO!$AM$15:$AW$165,"="&amp;CRONO!AD$12,CÁLCULO!$AB$15:$AL$165)/(ORÇAMENTO!$X$15-CÁLCULO.TotalAdmLocal)*CRONO!$E58,0),AD57*$R56),SUMIF(OFFSET($R58,1,0,$Q56-2),($L56+1)&amp;"$",OFFSET(AD58,1,0,$Q56-2)))</f>
        <v>0</v>
      </c>
      <c r="AE58" s="228">
        <f ca="1">IF($Q56=2,IF(AND(ACOMPANHAMENTO="PLE",ISNUMBER($E56)),SUMIF((OFFSET(CÁLCULO!$AM$15:$AW$15,$E56,0,OFFSET(ORÇAMENTO!$D$15,CRONO!$E56,0))),"="&amp;CRONO!AE$12,OFFSET(CÁLCULO!$AB$15:$AL$15,$E56,0,OFFSET(ORÇAMENTO!$D$15,CRONO!$E56,0)))+IF(AND($E58&lt;&gt;"",$E58&lt;&gt;0),SUMIF(CÁLCULO!$AM$15:$AW$165,"="&amp;CRONO!AE$12,CÁLCULO!$AB$15:$AL$165)/(ORÇAMENTO!$X$15-CÁLCULO.TotalAdmLocal)*CRONO!$E58,0),AE57*$R56),SUMIF(OFFSET($R58,1,0,$Q56-2),($L56+1)&amp;"$",OFFSET(AE58,1,0,$Q56-2)))</f>
        <v>0</v>
      </c>
    </row>
    <row r="59" spans="1:32" x14ac:dyDescent="0.2">
      <c r="A59" s="204">
        <f t="shared" ref="A59" ca="1" si="108">OFFSET(A59,-3,0)+1</f>
        <v>16</v>
      </c>
      <c r="B59" s="204">
        <f ca="1">IF($Q59&lt;&gt;2,0,IF($R59=0,1,IF(E60&gt;0,OFFSET(QCI!$M$13,SUBSTITUTE(E60,".",""),0),OFFSET(ORÇAMENTO!$AA$15,CRONO!$E59,0))/$R59))</f>
        <v>1</v>
      </c>
      <c r="C59" s="204">
        <f ca="1">IF($Q59&lt;&gt;2,0,IF($R59=0,1,IF(E60&gt;0,OFFSET(QCI!$N$13,SUBSTITUTE(E60,".",""),0),OFFSET(ORÇAMENTO!$AB$15,CRONO!$E59,0))/$R59))</f>
        <v>0</v>
      </c>
      <c r="D59" s="207">
        <f ca="1">IF(AND($Q59=2,ACOMPANHAMENTO="BM"),D60,D61/$R59)</f>
        <v>0</v>
      </c>
      <c r="E59" s="204">
        <f ca="1">IF(A59&lt;=ORÇAMENTO.MáximoListaCrono,MATCH(A59,ORÇAMENTO.ListaCrono,0),NA())</f>
        <v>56</v>
      </c>
      <c r="F59" s="204" t="str">
        <f t="shared" ref="F59" ca="1" si="109">IF(AND($E60&lt;&gt;-1,$R59&gt;0),"F","")</f>
        <v>F</v>
      </c>
      <c r="G59" s="208">
        <f ca="1">IF(OR(R59=0,R59=""),"Linha",IF(AND(OR(ACOMPANHAMENTO="PLE",$Q59&lt;&gt;2),$E60=0),"Linha",1-SUM(T59:AF59)))</f>
        <v>0</v>
      </c>
      <c r="H59" s="209" t="str">
        <f ca="1">IF($E60=0,OFFSET(ORÇAMENTO!O$15,$E59,0),IF($E60&lt;&gt;-1,OFFSET(QCI!$D$13,$E60,0),""))</f>
        <v>5.1.</v>
      </c>
      <c r="I59" s="210" t="str">
        <f ca="1">IF($E60=0,OFFSET(ORÇAMENTO!R$15,$E59,0),IF($E60&lt;&gt;-1,OFFSET(QCI!$G$13,$E60,0),""))</f>
        <v xml:space="preserve">COBERTURA </v>
      </c>
      <c r="J59" s="210"/>
      <c r="K59" s="210"/>
      <c r="L59" s="211">
        <f ca="1">IF($E60=0,OFFSET(ORÇAMENTO!C$15,$E59,0),1)</f>
        <v>2</v>
      </c>
      <c r="M59" s="212">
        <f ca="1">IF($E60=-1,0,IF(M$13&lt;=$L59,IF(ISERROR(MATCH(M$13,OFFSET($L59,1,0,ROW($L$113)-ROW($L59)-1),0)),ROW($L$113)-ROW($L59)-1,MATCH(M$13,OFFSET($L59,1,0,ROW($L$113)-ROW($L59)-1),0)-1),0))</f>
        <v>5</v>
      </c>
      <c r="N59" s="212">
        <f ca="1">IF($E60=-1,0,IF(N$13&lt;=$L59,IF(ISERROR(MATCH(N$13,OFFSET($L59,1,0,ROW($L$113)-ROW($L59)-1),0)),ROW($L$113)-ROW($L59)-1,MATCH(N$13,OFFSET($L59,1,0,ROW($L$113)-ROW($L59)-1),0)-1),0))</f>
        <v>2</v>
      </c>
      <c r="O59" s="212">
        <f ca="1">IF($E60=-1,0,IF(O$13&lt;=$L59,IF(ISERROR(MATCH(O$13,OFFSET($L59,1,0,ROW($L$113)-ROW($L59)-1),0)),ROW($L$113)-ROW($L59)-1,MATCH(O$13,OFFSET($L59,1,0,ROW($L$113)-ROW($L59)-1),0)-1),0))</f>
        <v>0</v>
      </c>
      <c r="P59" s="212">
        <f ca="1">IF($E60=-1,0,IF(P$13&lt;=$L59,IF(ISERROR(MATCH(P$13,OFFSET($L59,1,0,ROW($L$113)-ROW($L59)-1),0)),ROW($L$113)-ROW($L59)-1,MATCH(P$13,OFFSET($L59,1,0,ROW($L$113)-ROW($L59)-1),0)-1),0))</f>
        <v>0</v>
      </c>
      <c r="Q59" s="212">
        <f t="shared" ref="Q59" ca="1" si="110">MIN(OFFSET(L59,0,1,,L59))</f>
        <v>2</v>
      </c>
      <c r="R59" s="213">
        <f ca="1">IF($E60=0,OFFSET(ORÇAMENTO!X$15,$E59,0),IF($E60&lt;&gt;-1,OFFSET(QCI!$O$13,$E60,0),""))</f>
        <v>45335.61</v>
      </c>
      <c r="S59" s="214" t="s">
        <v>270</v>
      </c>
      <c r="T59" s="215">
        <f t="shared" ref="T59:AE59" ca="1" si="111">IF(AND($Q59=2,ACOMPANHAMENTO="BM"),T60,T61/$R59)</f>
        <v>0</v>
      </c>
      <c r="U59" s="207">
        <f t="shared" ca="1" si="111"/>
        <v>0.5</v>
      </c>
      <c r="V59" s="207">
        <f t="shared" ca="1" si="111"/>
        <v>0.5</v>
      </c>
      <c r="W59" s="207">
        <f t="shared" ca="1" si="111"/>
        <v>0</v>
      </c>
      <c r="X59" s="207">
        <f t="shared" ca="1" si="111"/>
        <v>0</v>
      </c>
      <c r="Y59" s="207">
        <f t="shared" ca="1" si="111"/>
        <v>0</v>
      </c>
      <c r="Z59" s="207">
        <f t="shared" ca="1" si="111"/>
        <v>0</v>
      </c>
      <c r="AA59" s="207">
        <f t="shared" ca="1" si="111"/>
        <v>0</v>
      </c>
      <c r="AB59" s="207">
        <f t="shared" ca="1" si="111"/>
        <v>0</v>
      </c>
      <c r="AC59" s="207">
        <f t="shared" ca="1" si="111"/>
        <v>0</v>
      </c>
      <c r="AD59" s="207">
        <f t="shared" ca="1" si="111"/>
        <v>0</v>
      </c>
      <c r="AE59" s="216">
        <f t="shared" ca="1" si="111"/>
        <v>0</v>
      </c>
    </row>
    <row r="60" spans="1:32" ht="12.75" customHeight="1" x14ac:dyDescent="0.2">
      <c r="D60" s="569"/>
      <c r="E60" s="204">
        <f ca="1">IF(ISERROR(E59),IF(1+COUNTIF($L$13:OFFSET(L59,-1,0),1)&lt;=MAX(QCI!$D$13:$D$24),1+COUNTIF($L$13:OFFSET(L59,-1,0),1),-1),0)</f>
        <v>0</v>
      </c>
      <c r="F60" s="204" t="str">
        <f t="shared" ref="F60" ca="1" si="112">IF(AND($E60&lt;&gt;-1,$R59&gt;0),"F","")</f>
        <v>F</v>
      </c>
      <c r="G60" s="217" t="str">
        <f ca="1">IF(OR(R59=0,R59=""),"vazia",IF(AND(OR(ACOMPANHAMENTO="PLE",$Q59&lt;&gt;2),$E60=0),"calculada","--&gt;"))</f>
        <v>--&gt;</v>
      </c>
      <c r="H60" s="218"/>
      <c r="I60" s="219" t="str">
        <f t="shared" ref="I60" ca="1" si="113">IF(AND(G59&lt;&gt;0,ISNUMBER(G59)),"PREENCHA ESTA LINHA --&gt;","")</f>
        <v/>
      </c>
      <c r="J60" s="219"/>
      <c r="K60" s="219"/>
      <c r="L60" s="220"/>
      <c r="M60" s="220"/>
      <c r="N60" s="220"/>
      <c r="O60" s="220"/>
      <c r="P60" s="220"/>
      <c r="Q60" s="220"/>
      <c r="R60" s="221"/>
      <c r="S60" s="222"/>
      <c r="T60" s="570"/>
      <c r="U60" s="569">
        <v>0.5</v>
      </c>
      <c r="V60" s="569">
        <v>0.5</v>
      </c>
      <c r="W60" s="569"/>
      <c r="X60" s="569"/>
      <c r="Y60" s="569"/>
      <c r="Z60" s="569"/>
      <c r="AA60" s="569"/>
      <c r="AB60" s="569"/>
      <c r="AC60" s="569"/>
      <c r="AD60" s="569"/>
      <c r="AE60" s="571"/>
      <c r="AF60" s="533"/>
    </row>
    <row r="61" spans="1:32" ht="0.2" hidden="1" customHeight="1" x14ac:dyDescent="0.2">
      <c r="D61" s="223">
        <f ca="1">IF($Q59=2,IF(AND(ACOMPANHAMENTO="PLE",ISNUMBER($E59)),SUMIF((OFFSET(CÁLCULO!$AM$15:$AW$15,$E59,0,OFFSET(ORÇAMENTO!$D$15,CRONO!$E59,0))),"="&amp;CRONO!D$12,OFFSET(CÁLCULO!$AB$15:$AL$15,$E59,0,OFFSET(ORÇAMENTO!$D$15,CRONO!$E59,0)))+IF(AND($E61&lt;&gt;"",$E61&lt;&gt;0),SUMIF(CÁLCULO!$AM$15:$AW$165,"="&amp;CRONO!D$12,CÁLCULO!$AB$15:$AL$165)/(ORÇAMENTO!$X$15-CÁLCULO.TotalAdmLocal)*CRONO!$E61,0),D60*$R59),SUMIF(OFFSET($R61,1,0,$Q59-2),($L59+1)&amp;"$",OFFSET(D61,1,0,$Q59-2)))</f>
        <v>0</v>
      </c>
      <c r="E61" s="204" t="str">
        <f ca="1">IF(OR($Q59&lt;&gt;2,AUTOEVENTO&lt;&gt;"manual",$E60&gt;0),"",SUMIF(OFFSET(CÁLCULO!$M$15,CRONO!$E59,0,OFFSET(ORÇAMENTO!$D$15,CRONO!$E59,0)),1,OFFSET(ORÇAMENTO!$X$15,CRONO!$E59,0,OFFSET(ORÇAMENTO!$D$15,CRONO!$E59,0))))</f>
        <v/>
      </c>
      <c r="G61" s="224"/>
      <c r="R61" s="225" t="str">
        <f t="shared" ref="R61" ca="1" si="114">L59&amp;"$"</f>
        <v>2$</v>
      </c>
      <c r="S61" s="226"/>
      <c r="T61" s="227">
        <f ca="1">IF($Q59=2,IF(AND(ACOMPANHAMENTO="PLE",ISNUMBER($E59)),SUMIF((OFFSET(CÁLCULO!$AM$15:$AW$15,$E59,0,OFFSET(ORÇAMENTO!$D$15,CRONO!$E59,0))),"&lt;="&amp;CRONO!T$12,OFFSET(CÁLCULO!$AB$15:$AL$15,$E59,0,OFFSET(ORÇAMENTO!$D$15,CRONO!$E59,0)))+IF(AND($E61&lt;&gt;"",$E61&lt;&gt;0),SUMIF(CÁLCULO!$AM$15:$AW$165,"&lt;="&amp;CRONO!T$12,CÁLCULO!$AB$15:$AL$165)/(ORÇAMENTO!$X$15-CÁLCULO.TotalAdmLocal)*CRONO!$E61,0),T60*$R59),SUMIF(OFFSET($R61,1,0,$Q59-2),($L59+1)&amp;"$",OFFSET(T61,1,0,$Q59-2)))</f>
        <v>0</v>
      </c>
      <c r="U61" s="223">
        <f ca="1">IF($Q59=2,IF(AND(ACOMPANHAMENTO="PLE",ISNUMBER($E59)),SUMIF((OFFSET(CÁLCULO!$AM$15:$AW$15,$E59,0,OFFSET(ORÇAMENTO!$D$15,CRONO!$E59,0))),"="&amp;CRONO!U$12,OFFSET(CÁLCULO!$AB$15:$AL$15,$E59,0,OFFSET(ORÇAMENTO!$D$15,CRONO!$E59,0)))+IF(AND($E61&lt;&gt;"",$E61&lt;&gt;0),SUMIF(CÁLCULO!$AM$15:$AW$165,"="&amp;CRONO!U$12,CÁLCULO!$AB$15:$AL$165)/(ORÇAMENTO!$X$15-CÁLCULO.TotalAdmLocal)*CRONO!$E61,0),U60*$R59),SUMIF(OFFSET($R61,1,0,$Q59-2),($L59+1)&amp;"$",OFFSET(U61,1,0,$Q59-2)))</f>
        <v>22667.805</v>
      </c>
      <c r="V61" s="223">
        <f ca="1">IF($Q59=2,IF(AND(ACOMPANHAMENTO="PLE",ISNUMBER($E59)),SUMIF((OFFSET(CÁLCULO!$AM$15:$AW$15,$E59,0,OFFSET(ORÇAMENTO!$D$15,CRONO!$E59,0))),"="&amp;CRONO!V$12,OFFSET(CÁLCULO!$AB$15:$AL$15,$E59,0,OFFSET(ORÇAMENTO!$D$15,CRONO!$E59,0)))+IF(AND($E61&lt;&gt;"",$E61&lt;&gt;0),SUMIF(CÁLCULO!$AM$15:$AW$165,"="&amp;CRONO!V$12,CÁLCULO!$AB$15:$AL$165)/(ORÇAMENTO!$X$15-CÁLCULO.TotalAdmLocal)*CRONO!$E61,0),V60*$R59),SUMIF(OFFSET($R61,1,0,$Q59-2),($L59+1)&amp;"$",OFFSET(V61,1,0,$Q59-2)))</f>
        <v>22667.805</v>
      </c>
      <c r="W61" s="223">
        <f ca="1">IF($Q59=2,IF(AND(ACOMPANHAMENTO="PLE",ISNUMBER($E59)),SUMIF((OFFSET(CÁLCULO!$AM$15:$AW$15,$E59,0,OFFSET(ORÇAMENTO!$D$15,CRONO!$E59,0))),"="&amp;CRONO!W$12,OFFSET(CÁLCULO!$AB$15:$AL$15,$E59,0,OFFSET(ORÇAMENTO!$D$15,CRONO!$E59,0)))+IF(AND($E61&lt;&gt;"",$E61&lt;&gt;0),SUMIF(CÁLCULO!$AM$15:$AW$165,"="&amp;CRONO!W$12,CÁLCULO!$AB$15:$AL$165)/(ORÇAMENTO!$X$15-CÁLCULO.TotalAdmLocal)*CRONO!$E61,0),W60*$R59),SUMIF(OFFSET($R61,1,0,$Q59-2),($L59+1)&amp;"$",OFFSET(W61,1,0,$Q59-2)))</f>
        <v>0</v>
      </c>
      <c r="X61" s="223">
        <f ca="1">IF($Q59=2,IF(AND(ACOMPANHAMENTO="PLE",ISNUMBER($E59)),SUMIF((OFFSET(CÁLCULO!$AM$15:$AW$15,$E59,0,OFFSET(ORÇAMENTO!$D$15,CRONO!$E59,0))),"="&amp;CRONO!X$12,OFFSET(CÁLCULO!$AB$15:$AL$15,$E59,0,OFFSET(ORÇAMENTO!$D$15,CRONO!$E59,0)))+IF(AND($E61&lt;&gt;"",$E61&lt;&gt;0),SUMIF(CÁLCULO!$AM$15:$AW$165,"="&amp;CRONO!X$12,CÁLCULO!$AB$15:$AL$165)/(ORÇAMENTO!$X$15-CÁLCULO.TotalAdmLocal)*CRONO!$E61,0),X60*$R59),SUMIF(OFFSET($R61,1,0,$Q59-2),($L59+1)&amp;"$",OFFSET(X61,1,0,$Q59-2)))</f>
        <v>0</v>
      </c>
      <c r="Y61" s="223">
        <f ca="1">IF($Q59=2,IF(AND(ACOMPANHAMENTO="PLE",ISNUMBER($E59)),SUMIF((OFFSET(CÁLCULO!$AM$15:$AW$15,$E59,0,OFFSET(ORÇAMENTO!$D$15,CRONO!$E59,0))),"="&amp;CRONO!Y$12,OFFSET(CÁLCULO!$AB$15:$AL$15,$E59,0,OFFSET(ORÇAMENTO!$D$15,CRONO!$E59,0)))+IF(AND($E61&lt;&gt;"",$E61&lt;&gt;0),SUMIF(CÁLCULO!$AM$15:$AW$165,"="&amp;CRONO!Y$12,CÁLCULO!$AB$15:$AL$165)/(ORÇAMENTO!$X$15-CÁLCULO.TotalAdmLocal)*CRONO!$E61,0),Y60*$R59),SUMIF(OFFSET($R61,1,0,$Q59-2),($L59+1)&amp;"$",OFFSET(Y61,1,0,$Q59-2)))</f>
        <v>0</v>
      </c>
      <c r="Z61" s="223">
        <f ca="1">IF($Q59=2,IF(AND(ACOMPANHAMENTO="PLE",ISNUMBER($E59)),SUMIF((OFFSET(CÁLCULO!$AM$15:$AW$15,$E59,0,OFFSET(ORÇAMENTO!$D$15,CRONO!$E59,0))),"="&amp;CRONO!Z$12,OFFSET(CÁLCULO!$AB$15:$AL$15,$E59,0,OFFSET(ORÇAMENTO!$D$15,CRONO!$E59,0)))+IF(AND($E61&lt;&gt;"",$E61&lt;&gt;0),SUMIF(CÁLCULO!$AM$15:$AW$165,"="&amp;CRONO!Z$12,CÁLCULO!$AB$15:$AL$165)/(ORÇAMENTO!$X$15-CÁLCULO.TotalAdmLocal)*CRONO!$E61,0),Z60*$R59),SUMIF(OFFSET($R61,1,0,$Q59-2),($L59+1)&amp;"$",OFFSET(Z61,1,0,$Q59-2)))</f>
        <v>0</v>
      </c>
      <c r="AA61" s="223">
        <f ca="1">IF($Q59=2,IF(AND(ACOMPANHAMENTO="PLE",ISNUMBER($E59)),SUMIF((OFFSET(CÁLCULO!$AM$15:$AW$15,$E59,0,OFFSET(ORÇAMENTO!$D$15,CRONO!$E59,0))),"="&amp;CRONO!AA$12,OFFSET(CÁLCULO!$AB$15:$AL$15,$E59,0,OFFSET(ORÇAMENTO!$D$15,CRONO!$E59,0)))+IF(AND($E61&lt;&gt;"",$E61&lt;&gt;0),SUMIF(CÁLCULO!$AM$15:$AW$165,"="&amp;CRONO!AA$12,CÁLCULO!$AB$15:$AL$165)/(ORÇAMENTO!$X$15-CÁLCULO.TotalAdmLocal)*CRONO!$E61,0),AA60*$R59),SUMIF(OFFSET($R61,1,0,$Q59-2),($L59+1)&amp;"$",OFFSET(AA61,1,0,$Q59-2)))</f>
        <v>0</v>
      </c>
      <c r="AB61" s="223">
        <f ca="1">IF($Q59=2,IF(AND(ACOMPANHAMENTO="PLE",ISNUMBER($E59)),SUMIF((OFFSET(CÁLCULO!$AM$15:$AW$15,$E59,0,OFFSET(ORÇAMENTO!$D$15,CRONO!$E59,0))),"="&amp;CRONO!AB$12,OFFSET(CÁLCULO!$AB$15:$AL$15,$E59,0,OFFSET(ORÇAMENTO!$D$15,CRONO!$E59,0)))+IF(AND($E61&lt;&gt;"",$E61&lt;&gt;0),SUMIF(CÁLCULO!$AM$15:$AW$165,"="&amp;CRONO!AB$12,CÁLCULO!$AB$15:$AL$165)/(ORÇAMENTO!$X$15-CÁLCULO.TotalAdmLocal)*CRONO!$E61,0),AB60*$R59),SUMIF(OFFSET($R61,1,0,$Q59-2),($L59+1)&amp;"$",OFFSET(AB61,1,0,$Q59-2)))</f>
        <v>0</v>
      </c>
      <c r="AC61" s="223">
        <f ca="1">IF($Q59=2,IF(AND(ACOMPANHAMENTO="PLE",ISNUMBER($E59)),SUMIF((OFFSET(CÁLCULO!$AM$15:$AW$15,$E59,0,OFFSET(ORÇAMENTO!$D$15,CRONO!$E59,0))),"="&amp;CRONO!AC$12,OFFSET(CÁLCULO!$AB$15:$AL$15,$E59,0,OFFSET(ORÇAMENTO!$D$15,CRONO!$E59,0)))+IF(AND($E61&lt;&gt;"",$E61&lt;&gt;0),SUMIF(CÁLCULO!$AM$15:$AW$165,"="&amp;CRONO!AC$12,CÁLCULO!$AB$15:$AL$165)/(ORÇAMENTO!$X$15-CÁLCULO.TotalAdmLocal)*CRONO!$E61,0),AC60*$R59),SUMIF(OFFSET($R61,1,0,$Q59-2),($L59+1)&amp;"$",OFFSET(AC61,1,0,$Q59-2)))</f>
        <v>0</v>
      </c>
      <c r="AD61" s="223">
        <f ca="1">IF($Q59=2,IF(AND(ACOMPANHAMENTO="PLE",ISNUMBER($E59)),SUMIF((OFFSET(CÁLCULO!$AM$15:$AW$15,$E59,0,OFFSET(ORÇAMENTO!$D$15,CRONO!$E59,0))),"="&amp;CRONO!AD$12,OFFSET(CÁLCULO!$AB$15:$AL$15,$E59,0,OFFSET(ORÇAMENTO!$D$15,CRONO!$E59,0)))+IF(AND($E61&lt;&gt;"",$E61&lt;&gt;0),SUMIF(CÁLCULO!$AM$15:$AW$165,"="&amp;CRONO!AD$12,CÁLCULO!$AB$15:$AL$165)/(ORÇAMENTO!$X$15-CÁLCULO.TotalAdmLocal)*CRONO!$E61,0),AD60*$R59),SUMIF(OFFSET($R61,1,0,$Q59-2),($L59+1)&amp;"$",OFFSET(AD61,1,0,$Q59-2)))</f>
        <v>0</v>
      </c>
      <c r="AE61" s="228">
        <f ca="1">IF($Q59=2,IF(AND(ACOMPANHAMENTO="PLE",ISNUMBER($E59)),SUMIF((OFFSET(CÁLCULO!$AM$15:$AW$15,$E59,0,OFFSET(ORÇAMENTO!$D$15,CRONO!$E59,0))),"="&amp;CRONO!AE$12,OFFSET(CÁLCULO!$AB$15:$AL$15,$E59,0,OFFSET(ORÇAMENTO!$D$15,CRONO!$E59,0)))+IF(AND($E61&lt;&gt;"",$E61&lt;&gt;0),SUMIF(CÁLCULO!$AM$15:$AW$165,"="&amp;CRONO!AE$12,CÁLCULO!$AB$15:$AL$165)/(ORÇAMENTO!$X$15-CÁLCULO.TotalAdmLocal)*CRONO!$E61,0),AE60*$R59),SUMIF(OFFSET($R61,1,0,$Q59-2),($L59+1)&amp;"$",OFFSET(AE61,1,0,$Q59-2)))</f>
        <v>0</v>
      </c>
    </row>
    <row r="62" spans="1:32" x14ac:dyDescent="0.2">
      <c r="A62" s="204">
        <f t="shared" ref="A62" ca="1" si="115">OFFSET(A62,-3,0)+1</f>
        <v>17</v>
      </c>
      <c r="B62" s="204">
        <f ca="1">IF($Q62&lt;&gt;2,0,IF($R62=0,1,IF(E63&gt;0,OFFSET(QCI!$M$13,SUBSTITUTE(E63,".",""),0),OFFSET(ORÇAMENTO!$AA$15,CRONO!$E62,0))/$R62))</f>
        <v>1</v>
      </c>
      <c r="C62" s="204">
        <f ca="1">IF($Q62&lt;&gt;2,0,IF($R62=0,1,IF(E63&gt;0,OFFSET(QCI!$N$13,SUBSTITUTE(E63,".",""),0),OFFSET(ORÇAMENTO!$AB$15,CRONO!$E62,0))/$R62))</f>
        <v>0</v>
      </c>
      <c r="D62" s="207">
        <f ca="1">IF(AND($Q62=2,ACOMPANHAMENTO="BM"),D63,D64/$R62)</f>
        <v>0</v>
      </c>
      <c r="E62" s="204">
        <f ca="1">IF(A62&lt;=ORÇAMENTO.MáximoListaCrono,MATCH(A62,ORÇAMENTO.ListaCrono,0),NA())</f>
        <v>62</v>
      </c>
      <c r="F62" s="204" t="str">
        <f t="shared" ref="F62" ca="1" si="116">IF(AND($E63&lt;&gt;-1,$R62&gt;0),"F","")</f>
        <v>F</v>
      </c>
      <c r="G62" s="208">
        <f ca="1">IF(OR(R62=0,R62=""),"Linha",IF(AND(OR(ACOMPANHAMENTO="PLE",$Q62&lt;&gt;2),$E63=0),"Linha",1-SUM(T62:AF62)))</f>
        <v>0</v>
      </c>
      <c r="H62" s="209" t="str">
        <f ca="1">IF($E63=0,OFFSET(ORÇAMENTO!O$15,$E62,0),IF($E63&lt;&gt;-1,OFFSET(QCI!$D$13,$E63,0),""))</f>
        <v>5.2.</v>
      </c>
      <c r="I62" s="210" t="str">
        <f ca="1">IF($E63=0,OFFSET(ORÇAMENTO!R$15,$E62,0),IF($E63&lt;&gt;-1,OFFSET(QCI!$G$13,$E63,0),""))</f>
        <v xml:space="preserve">FORRO </v>
      </c>
      <c r="J62" s="210"/>
      <c r="K62" s="210"/>
      <c r="L62" s="211">
        <f ca="1">IF($E63=0,OFFSET(ORÇAMENTO!C$15,$E62,0),1)</f>
        <v>2</v>
      </c>
      <c r="M62" s="212">
        <f ca="1">IF($E63=-1,0,IF(M$13&lt;=$L62,IF(ISERROR(MATCH(M$13,OFFSET($L62,1,0,ROW($L$113)-ROW($L62)-1),0)),ROW($L$113)-ROW($L62)-1,MATCH(M$13,OFFSET($L62,1,0,ROW($L$113)-ROW($L62)-1),0)-1),0))</f>
        <v>2</v>
      </c>
      <c r="N62" s="212">
        <f ca="1">IF($E63=-1,0,IF(N$13&lt;=$L62,IF(ISERROR(MATCH(N$13,OFFSET($L62,1,0,ROW($L$113)-ROW($L62)-1),0)),ROW($L$113)-ROW($L62)-1,MATCH(N$13,OFFSET($L62,1,0,ROW($L$113)-ROW($L62)-1),0)-1),0))</f>
        <v>5</v>
      </c>
      <c r="O62" s="212">
        <f ca="1">IF($E63=-1,0,IF(O$13&lt;=$L62,IF(ISERROR(MATCH(O$13,OFFSET($L62,1,0,ROW($L$113)-ROW($L62)-1),0)),ROW($L$113)-ROW($L62)-1,MATCH(O$13,OFFSET($L62,1,0,ROW($L$113)-ROW($L62)-1),0)-1),0))</f>
        <v>0</v>
      </c>
      <c r="P62" s="212">
        <f ca="1">IF($E63=-1,0,IF(P$13&lt;=$L62,IF(ISERROR(MATCH(P$13,OFFSET($L62,1,0,ROW($L$113)-ROW($L62)-1),0)),ROW($L$113)-ROW($L62)-1,MATCH(P$13,OFFSET($L62,1,0,ROW($L$113)-ROW($L62)-1),0)-1),0))</f>
        <v>0</v>
      </c>
      <c r="Q62" s="212">
        <f t="shared" ref="Q62" ca="1" si="117">MIN(OFFSET(L62,0,1,,L62))</f>
        <v>2</v>
      </c>
      <c r="R62" s="213">
        <f ca="1">IF($E63=0,OFFSET(ORÇAMENTO!X$15,$E62,0),IF($E63&lt;&gt;-1,OFFSET(QCI!$O$13,$E63,0),""))</f>
        <v>6661.24</v>
      </c>
      <c r="S62" s="214" t="s">
        <v>270</v>
      </c>
      <c r="T62" s="215">
        <f t="shared" ref="T62:AE62" ca="1" si="118">IF(AND($Q62=2,ACOMPANHAMENTO="BM"),T63,T64/$R62)</f>
        <v>0</v>
      </c>
      <c r="U62" s="207">
        <f t="shared" ca="1" si="118"/>
        <v>0.5</v>
      </c>
      <c r="V62" s="207">
        <f t="shared" ca="1" si="118"/>
        <v>0.5</v>
      </c>
      <c r="W62" s="207">
        <f t="shared" ca="1" si="118"/>
        <v>0</v>
      </c>
      <c r="X62" s="207">
        <f t="shared" ca="1" si="118"/>
        <v>0</v>
      </c>
      <c r="Y62" s="207">
        <f t="shared" ca="1" si="118"/>
        <v>0</v>
      </c>
      <c r="Z62" s="207">
        <f t="shared" ca="1" si="118"/>
        <v>0</v>
      </c>
      <c r="AA62" s="207">
        <f t="shared" ca="1" si="118"/>
        <v>0</v>
      </c>
      <c r="AB62" s="207">
        <f t="shared" ca="1" si="118"/>
        <v>0</v>
      </c>
      <c r="AC62" s="207">
        <f t="shared" ca="1" si="118"/>
        <v>0</v>
      </c>
      <c r="AD62" s="207">
        <f t="shared" ca="1" si="118"/>
        <v>0</v>
      </c>
      <c r="AE62" s="216">
        <f t="shared" ca="1" si="118"/>
        <v>0</v>
      </c>
    </row>
    <row r="63" spans="1:32" ht="12.75" customHeight="1" x14ac:dyDescent="0.2">
      <c r="D63" s="569"/>
      <c r="E63" s="204">
        <f ca="1">IF(ISERROR(E62),IF(1+COUNTIF($L$13:OFFSET(L62,-1,0),1)&lt;=MAX(QCI!$D$13:$D$24),1+COUNTIF($L$13:OFFSET(L62,-1,0),1),-1),0)</f>
        <v>0</v>
      </c>
      <c r="F63" s="204" t="str">
        <f t="shared" ref="F63" ca="1" si="119">IF(AND($E63&lt;&gt;-1,$R62&gt;0),"F","")</f>
        <v>F</v>
      </c>
      <c r="G63" s="217" t="str">
        <f ca="1">IF(OR(R62=0,R62=""),"vazia",IF(AND(OR(ACOMPANHAMENTO="PLE",$Q62&lt;&gt;2),$E63=0),"calculada","--&gt;"))</f>
        <v>--&gt;</v>
      </c>
      <c r="H63" s="218"/>
      <c r="I63" s="219" t="str">
        <f t="shared" ref="I63" ca="1" si="120">IF(AND(G62&lt;&gt;0,ISNUMBER(G62)),"PREENCHA ESTA LINHA --&gt;","")</f>
        <v/>
      </c>
      <c r="J63" s="219"/>
      <c r="K63" s="219"/>
      <c r="L63" s="220"/>
      <c r="M63" s="220"/>
      <c r="N63" s="220"/>
      <c r="O63" s="220"/>
      <c r="P63" s="220"/>
      <c r="Q63" s="220"/>
      <c r="R63" s="221"/>
      <c r="S63" s="222"/>
      <c r="T63" s="570"/>
      <c r="U63" s="569">
        <v>0.5</v>
      </c>
      <c r="V63" s="569">
        <v>0.5</v>
      </c>
      <c r="W63" s="569"/>
      <c r="X63" s="569"/>
      <c r="Y63" s="569"/>
      <c r="Z63" s="569"/>
      <c r="AA63" s="569"/>
      <c r="AB63" s="569"/>
      <c r="AC63" s="569"/>
      <c r="AD63" s="569"/>
      <c r="AE63" s="571"/>
      <c r="AF63" s="533"/>
    </row>
    <row r="64" spans="1:32" ht="0.2" hidden="1" customHeight="1" x14ac:dyDescent="0.2">
      <c r="D64" s="223">
        <f ca="1">IF($Q62=2,IF(AND(ACOMPANHAMENTO="PLE",ISNUMBER($E62)),SUMIF((OFFSET(CÁLCULO!$AM$15:$AW$15,$E62,0,OFFSET(ORÇAMENTO!$D$15,CRONO!$E62,0))),"="&amp;CRONO!D$12,OFFSET(CÁLCULO!$AB$15:$AL$15,$E62,0,OFFSET(ORÇAMENTO!$D$15,CRONO!$E62,0)))+IF(AND($E64&lt;&gt;"",$E64&lt;&gt;0),SUMIF(CÁLCULO!$AM$15:$AW$165,"="&amp;CRONO!D$12,CÁLCULO!$AB$15:$AL$165)/(ORÇAMENTO!$X$15-CÁLCULO.TotalAdmLocal)*CRONO!$E64,0),D63*$R62),SUMIF(OFFSET($R64,1,0,$Q62-2),($L62+1)&amp;"$",OFFSET(D64,1,0,$Q62-2)))</f>
        <v>0</v>
      </c>
      <c r="E64" s="204" t="str">
        <f ca="1">IF(OR($Q62&lt;&gt;2,AUTOEVENTO&lt;&gt;"manual",$E63&gt;0),"",SUMIF(OFFSET(CÁLCULO!$M$15,CRONO!$E62,0,OFFSET(ORÇAMENTO!$D$15,CRONO!$E62,0)),1,OFFSET(ORÇAMENTO!$X$15,CRONO!$E62,0,OFFSET(ORÇAMENTO!$D$15,CRONO!$E62,0))))</f>
        <v/>
      </c>
      <c r="G64" s="224"/>
      <c r="R64" s="225" t="str">
        <f t="shared" ref="R64" ca="1" si="121">L62&amp;"$"</f>
        <v>2$</v>
      </c>
      <c r="S64" s="226"/>
      <c r="T64" s="227">
        <f ca="1">IF($Q62=2,IF(AND(ACOMPANHAMENTO="PLE",ISNUMBER($E62)),SUMIF((OFFSET(CÁLCULO!$AM$15:$AW$15,$E62,0,OFFSET(ORÇAMENTO!$D$15,CRONO!$E62,0))),"&lt;="&amp;CRONO!T$12,OFFSET(CÁLCULO!$AB$15:$AL$15,$E62,0,OFFSET(ORÇAMENTO!$D$15,CRONO!$E62,0)))+IF(AND($E64&lt;&gt;"",$E64&lt;&gt;0),SUMIF(CÁLCULO!$AM$15:$AW$165,"&lt;="&amp;CRONO!T$12,CÁLCULO!$AB$15:$AL$165)/(ORÇAMENTO!$X$15-CÁLCULO.TotalAdmLocal)*CRONO!$E64,0),T63*$R62),SUMIF(OFFSET($R64,1,0,$Q62-2),($L62+1)&amp;"$",OFFSET(T64,1,0,$Q62-2)))</f>
        <v>0</v>
      </c>
      <c r="U64" s="223">
        <f ca="1">IF($Q62=2,IF(AND(ACOMPANHAMENTO="PLE",ISNUMBER($E62)),SUMIF((OFFSET(CÁLCULO!$AM$15:$AW$15,$E62,0,OFFSET(ORÇAMENTO!$D$15,CRONO!$E62,0))),"="&amp;CRONO!U$12,OFFSET(CÁLCULO!$AB$15:$AL$15,$E62,0,OFFSET(ORÇAMENTO!$D$15,CRONO!$E62,0)))+IF(AND($E64&lt;&gt;"",$E64&lt;&gt;0),SUMIF(CÁLCULO!$AM$15:$AW$165,"="&amp;CRONO!U$12,CÁLCULO!$AB$15:$AL$165)/(ORÇAMENTO!$X$15-CÁLCULO.TotalAdmLocal)*CRONO!$E64,0),U63*$R62),SUMIF(OFFSET($R64,1,0,$Q62-2),($L62+1)&amp;"$",OFFSET(U64,1,0,$Q62-2)))</f>
        <v>3330.62</v>
      </c>
      <c r="V64" s="223">
        <f ca="1">IF($Q62=2,IF(AND(ACOMPANHAMENTO="PLE",ISNUMBER($E62)),SUMIF((OFFSET(CÁLCULO!$AM$15:$AW$15,$E62,0,OFFSET(ORÇAMENTO!$D$15,CRONO!$E62,0))),"="&amp;CRONO!V$12,OFFSET(CÁLCULO!$AB$15:$AL$15,$E62,0,OFFSET(ORÇAMENTO!$D$15,CRONO!$E62,0)))+IF(AND($E64&lt;&gt;"",$E64&lt;&gt;0),SUMIF(CÁLCULO!$AM$15:$AW$165,"="&amp;CRONO!V$12,CÁLCULO!$AB$15:$AL$165)/(ORÇAMENTO!$X$15-CÁLCULO.TotalAdmLocal)*CRONO!$E64,0),V63*$R62),SUMIF(OFFSET($R64,1,0,$Q62-2),($L62+1)&amp;"$",OFFSET(V64,1,0,$Q62-2)))</f>
        <v>3330.62</v>
      </c>
      <c r="W64" s="223">
        <f ca="1">IF($Q62=2,IF(AND(ACOMPANHAMENTO="PLE",ISNUMBER($E62)),SUMIF((OFFSET(CÁLCULO!$AM$15:$AW$15,$E62,0,OFFSET(ORÇAMENTO!$D$15,CRONO!$E62,0))),"="&amp;CRONO!W$12,OFFSET(CÁLCULO!$AB$15:$AL$15,$E62,0,OFFSET(ORÇAMENTO!$D$15,CRONO!$E62,0)))+IF(AND($E64&lt;&gt;"",$E64&lt;&gt;0),SUMIF(CÁLCULO!$AM$15:$AW$165,"="&amp;CRONO!W$12,CÁLCULO!$AB$15:$AL$165)/(ORÇAMENTO!$X$15-CÁLCULO.TotalAdmLocal)*CRONO!$E64,0),W63*$R62),SUMIF(OFFSET($R64,1,0,$Q62-2),($L62+1)&amp;"$",OFFSET(W64,1,0,$Q62-2)))</f>
        <v>0</v>
      </c>
      <c r="X64" s="223">
        <f ca="1">IF($Q62=2,IF(AND(ACOMPANHAMENTO="PLE",ISNUMBER($E62)),SUMIF((OFFSET(CÁLCULO!$AM$15:$AW$15,$E62,0,OFFSET(ORÇAMENTO!$D$15,CRONO!$E62,0))),"="&amp;CRONO!X$12,OFFSET(CÁLCULO!$AB$15:$AL$15,$E62,0,OFFSET(ORÇAMENTO!$D$15,CRONO!$E62,0)))+IF(AND($E64&lt;&gt;"",$E64&lt;&gt;0),SUMIF(CÁLCULO!$AM$15:$AW$165,"="&amp;CRONO!X$12,CÁLCULO!$AB$15:$AL$165)/(ORÇAMENTO!$X$15-CÁLCULO.TotalAdmLocal)*CRONO!$E64,0),X63*$R62),SUMIF(OFFSET($R64,1,0,$Q62-2),($L62+1)&amp;"$",OFFSET(X64,1,0,$Q62-2)))</f>
        <v>0</v>
      </c>
      <c r="Y64" s="223">
        <f ca="1">IF($Q62=2,IF(AND(ACOMPANHAMENTO="PLE",ISNUMBER($E62)),SUMIF((OFFSET(CÁLCULO!$AM$15:$AW$15,$E62,0,OFFSET(ORÇAMENTO!$D$15,CRONO!$E62,0))),"="&amp;CRONO!Y$12,OFFSET(CÁLCULO!$AB$15:$AL$15,$E62,0,OFFSET(ORÇAMENTO!$D$15,CRONO!$E62,0)))+IF(AND($E64&lt;&gt;"",$E64&lt;&gt;0),SUMIF(CÁLCULO!$AM$15:$AW$165,"="&amp;CRONO!Y$12,CÁLCULO!$AB$15:$AL$165)/(ORÇAMENTO!$X$15-CÁLCULO.TotalAdmLocal)*CRONO!$E64,0),Y63*$R62),SUMIF(OFFSET($R64,1,0,$Q62-2),($L62+1)&amp;"$",OFFSET(Y64,1,0,$Q62-2)))</f>
        <v>0</v>
      </c>
      <c r="Z64" s="223">
        <f ca="1">IF($Q62=2,IF(AND(ACOMPANHAMENTO="PLE",ISNUMBER($E62)),SUMIF((OFFSET(CÁLCULO!$AM$15:$AW$15,$E62,0,OFFSET(ORÇAMENTO!$D$15,CRONO!$E62,0))),"="&amp;CRONO!Z$12,OFFSET(CÁLCULO!$AB$15:$AL$15,$E62,0,OFFSET(ORÇAMENTO!$D$15,CRONO!$E62,0)))+IF(AND($E64&lt;&gt;"",$E64&lt;&gt;0),SUMIF(CÁLCULO!$AM$15:$AW$165,"="&amp;CRONO!Z$12,CÁLCULO!$AB$15:$AL$165)/(ORÇAMENTO!$X$15-CÁLCULO.TotalAdmLocal)*CRONO!$E64,0),Z63*$R62),SUMIF(OFFSET($R64,1,0,$Q62-2),($L62+1)&amp;"$",OFFSET(Z64,1,0,$Q62-2)))</f>
        <v>0</v>
      </c>
      <c r="AA64" s="223">
        <f ca="1">IF($Q62=2,IF(AND(ACOMPANHAMENTO="PLE",ISNUMBER($E62)),SUMIF((OFFSET(CÁLCULO!$AM$15:$AW$15,$E62,0,OFFSET(ORÇAMENTO!$D$15,CRONO!$E62,0))),"="&amp;CRONO!AA$12,OFFSET(CÁLCULO!$AB$15:$AL$15,$E62,0,OFFSET(ORÇAMENTO!$D$15,CRONO!$E62,0)))+IF(AND($E64&lt;&gt;"",$E64&lt;&gt;0),SUMIF(CÁLCULO!$AM$15:$AW$165,"="&amp;CRONO!AA$12,CÁLCULO!$AB$15:$AL$165)/(ORÇAMENTO!$X$15-CÁLCULO.TotalAdmLocal)*CRONO!$E64,0),AA63*$R62),SUMIF(OFFSET($R64,1,0,$Q62-2),($L62+1)&amp;"$",OFFSET(AA64,1,0,$Q62-2)))</f>
        <v>0</v>
      </c>
      <c r="AB64" s="223">
        <f ca="1">IF($Q62=2,IF(AND(ACOMPANHAMENTO="PLE",ISNUMBER($E62)),SUMIF((OFFSET(CÁLCULO!$AM$15:$AW$15,$E62,0,OFFSET(ORÇAMENTO!$D$15,CRONO!$E62,0))),"="&amp;CRONO!AB$12,OFFSET(CÁLCULO!$AB$15:$AL$15,$E62,0,OFFSET(ORÇAMENTO!$D$15,CRONO!$E62,0)))+IF(AND($E64&lt;&gt;"",$E64&lt;&gt;0),SUMIF(CÁLCULO!$AM$15:$AW$165,"="&amp;CRONO!AB$12,CÁLCULO!$AB$15:$AL$165)/(ORÇAMENTO!$X$15-CÁLCULO.TotalAdmLocal)*CRONO!$E64,0),AB63*$R62),SUMIF(OFFSET($R64,1,0,$Q62-2),($L62+1)&amp;"$",OFFSET(AB64,1,0,$Q62-2)))</f>
        <v>0</v>
      </c>
      <c r="AC64" s="223">
        <f ca="1">IF($Q62=2,IF(AND(ACOMPANHAMENTO="PLE",ISNUMBER($E62)),SUMIF((OFFSET(CÁLCULO!$AM$15:$AW$15,$E62,0,OFFSET(ORÇAMENTO!$D$15,CRONO!$E62,0))),"="&amp;CRONO!AC$12,OFFSET(CÁLCULO!$AB$15:$AL$15,$E62,0,OFFSET(ORÇAMENTO!$D$15,CRONO!$E62,0)))+IF(AND($E64&lt;&gt;"",$E64&lt;&gt;0),SUMIF(CÁLCULO!$AM$15:$AW$165,"="&amp;CRONO!AC$12,CÁLCULO!$AB$15:$AL$165)/(ORÇAMENTO!$X$15-CÁLCULO.TotalAdmLocal)*CRONO!$E64,0),AC63*$R62),SUMIF(OFFSET($R64,1,0,$Q62-2),($L62+1)&amp;"$",OFFSET(AC64,1,0,$Q62-2)))</f>
        <v>0</v>
      </c>
      <c r="AD64" s="223">
        <f ca="1">IF($Q62=2,IF(AND(ACOMPANHAMENTO="PLE",ISNUMBER($E62)),SUMIF((OFFSET(CÁLCULO!$AM$15:$AW$15,$E62,0,OFFSET(ORÇAMENTO!$D$15,CRONO!$E62,0))),"="&amp;CRONO!AD$12,OFFSET(CÁLCULO!$AB$15:$AL$15,$E62,0,OFFSET(ORÇAMENTO!$D$15,CRONO!$E62,0)))+IF(AND($E64&lt;&gt;"",$E64&lt;&gt;0),SUMIF(CÁLCULO!$AM$15:$AW$165,"="&amp;CRONO!AD$12,CÁLCULO!$AB$15:$AL$165)/(ORÇAMENTO!$X$15-CÁLCULO.TotalAdmLocal)*CRONO!$E64,0),AD63*$R62),SUMIF(OFFSET($R64,1,0,$Q62-2),($L62+1)&amp;"$",OFFSET(AD64,1,0,$Q62-2)))</f>
        <v>0</v>
      </c>
      <c r="AE64" s="228">
        <f ca="1">IF($Q62=2,IF(AND(ACOMPANHAMENTO="PLE",ISNUMBER($E62)),SUMIF((OFFSET(CÁLCULO!$AM$15:$AW$15,$E62,0,OFFSET(ORÇAMENTO!$D$15,CRONO!$E62,0))),"="&amp;CRONO!AE$12,OFFSET(CÁLCULO!$AB$15:$AL$15,$E62,0,OFFSET(ORÇAMENTO!$D$15,CRONO!$E62,0)))+IF(AND($E64&lt;&gt;"",$E64&lt;&gt;0),SUMIF(CÁLCULO!$AM$15:$AW$165,"="&amp;CRONO!AE$12,CÁLCULO!$AB$15:$AL$165)/(ORÇAMENTO!$X$15-CÁLCULO.TotalAdmLocal)*CRONO!$E64,0),AE63*$R62),SUMIF(OFFSET($R64,1,0,$Q62-2),($L62+1)&amp;"$",OFFSET(AE64,1,0,$Q62-2)))</f>
        <v>0</v>
      </c>
    </row>
    <row r="65" spans="1:32" x14ac:dyDescent="0.2">
      <c r="A65" s="204">
        <f t="shared" ref="A65" ca="1" si="122">OFFSET(A65,-3,0)+1</f>
        <v>18</v>
      </c>
      <c r="B65" s="204">
        <f ca="1">IF($Q65&lt;&gt;2,0,IF($R65=0,1,IF(E66&gt;0,OFFSET(QCI!$M$13,SUBSTITUTE(E66,".",""),0),OFFSET(ORÇAMENTO!$AA$15,CRONO!$E65,0))/$R65))</f>
        <v>0</v>
      </c>
      <c r="C65" s="204">
        <f ca="1">IF($Q65&lt;&gt;2,0,IF($R65=0,1,IF(E66&gt;0,OFFSET(QCI!$N$13,SUBSTITUTE(E66,".",""),0),OFFSET(ORÇAMENTO!$AB$15,CRONO!$E65,0))/$R65))</f>
        <v>0</v>
      </c>
      <c r="D65" s="207">
        <f ca="1">IF(AND($Q65=2,ACOMPANHAMENTO="BM"),D66,D67/$R65)</f>
        <v>0</v>
      </c>
      <c r="E65" s="204">
        <f ca="1">IF(A65&lt;=ORÇAMENTO.MáximoListaCrono,MATCH(A65,ORÇAMENTO.ListaCrono,0),NA())</f>
        <v>65</v>
      </c>
      <c r="F65" s="204" t="str">
        <f t="shared" ref="F65" ca="1" si="123">IF(AND($E66&lt;&gt;-1,$R65&gt;0),"F","")</f>
        <v>F</v>
      </c>
      <c r="G65" s="208" t="str">
        <f ca="1">IF(OR(R65=0,R65=""),"Linha",IF(AND(OR(ACOMPANHAMENTO="PLE",$Q65&lt;&gt;2),$E66=0),"Linha",1-SUM(T65:AF65)))</f>
        <v>Linha</v>
      </c>
      <c r="H65" s="209" t="str">
        <f ca="1">IF($E66=0,OFFSET(ORÇAMENTO!O$15,$E65,0),IF($E66&lt;&gt;-1,OFFSET(QCI!$D$13,$E66,0),""))</f>
        <v>6.</v>
      </c>
      <c r="I65" s="210" t="str">
        <f ca="1">IF($E66=0,OFFSET(ORÇAMENTO!R$15,$E65,0),IF($E66&lt;&gt;-1,OFFSET(QCI!$G$13,$E66,0),""))</f>
        <v>SERVIÇOS COMPLEMENTARES</v>
      </c>
      <c r="J65" s="210"/>
      <c r="K65" s="210"/>
      <c r="L65" s="211">
        <f ca="1">IF($E66=0,OFFSET(ORÇAMENTO!C$15,$E65,0),1)</f>
        <v>1</v>
      </c>
      <c r="M65" s="212">
        <f ca="1">IF($E66=-1,0,IF(M$13&lt;=$L65,IF(ISERROR(MATCH(M$13,OFFSET($L65,1,0,ROW($L$113)-ROW($L65)-1),0)),ROW($L$113)-ROW($L65)-1,MATCH(M$13,OFFSET($L65,1,0,ROW($L$113)-ROW($L65)-1),0)-1),0))</f>
        <v>11</v>
      </c>
      <c r="N65" s="212">
        <f ca="1">IF($E66=-1,0,IF(N$13&lt;=$L65,IF(ISERROR(MATCH(N$13,OFFSET($L65,1,0,ROW($L$113)-ROW($L65)-1),0)),ROW($L$113)-ROW($L65)-1,MATCH(N$13,OFFSET($L65,1,0,ROW($L$113)-ROW($L65)-1),0)-1),0))</f>
        <v>0</v>
      </c>
      <c r="O65" s="212">
        <f ca="1">IF($E66=-1,0,IF(O$13&lt;=$L65,IF(ISERROR(MATCH(O$13,OFFSET($L65,1,0,ROW($L$113)-ROW($L65)-1),0)),ROW($L$113)-ROW($L65)-1,MATCH(O$13,OFFSET($L65,1,0,ROW($L$113)-ROW($L65)-1),0)-1),0))</f>
        <v>0</v>
      </c>
      <c r="P65" s="212">
        <f ca="1">IF($E66=-1,0,IF(P$13&lt;=$L65,IF(ISERROR(MATCH(P$13,OFFSET($L65,1,0,ROW($L$113)-ROW($L65)-1),0)),ROW($L$113)-ROW($L65)-1,MATCH(P$13,OFFSET($L65,1,0,ROW($L$113)-ROW($L65)-1),0)-1),0))</f>
        <v>0</v>
      </c>
      <c r="Q65" s="212">
        <f t="shared" ref="Q65" ca="1" si="124">MIN(OFFSET(L65,0,1,,L65))</f>
        <v>11</v>
      </c>
      <c r="R65" s="213">
        <f ca="1">IF($E66=0,OFFSET(ORÇAMENTO!X$15,$E65,0),IF($E66&lt;&gt;-1,OFFSET(QCI!$O$13,$E66,0),""))</f>
        <v>28243.64</v>
      </c>
      <c r="S65" s="214" t="s">
        <v>270</v>
      </c>
      <c r="T65" s="215">
        <f t="shared" ref="T65:AE65" ca="1" si="125">IF(AND($Q65=2,ACOMPANHAMENTO="BM"),T66,T67/$R65)</f>
        <v>4.1656351660055151E-2</v>
      </c>
      <c r="U65" s="207">
        <f t="shared" ca="1" si="125"/>
        <v>0.65645610834864054</v>
      </c>
      <c r="V65" s="207">
        <f t="shared" ca="1" si="125"/>
        <v>0.30188753999130419</v>
      </c>
      <c r="W65" s="207">
        <f t="shared" ca="1" si="125"/>
        <v>0</v>
      </c>
      <c r="X65" s="207">
        <f t="shared" ca="1" si="125"/>
        <v>0</v>
      </c>
      <c r="Y65" s="207">
        <f t="shared" ca="1" si="125"/>
        <v>0</v>
      </c>
      <c r="Z65" s="207">
        <f t="shared" ca="1" si="125"/>
        <v>0</v>
      </c>
      <c r="AA65" s="207">
        <f t="shared" ca="1" si="125"/>
        <v>0</v>
      </c>
      <c r="AB65" s="207">
        <f t="shared" ca="1" si="125"/>
        <v>0</v>
      </c>
      <c r="AC65" s="207">
        <f t="shared" ca="1" si="125"/>
        <v>0</v>
      </c>
      <c r="AD65" s="207">
        <f t="shared" ca="1" si="125"/>
        <v>0</v>
      </c>
      <c r="AE65" s="216">
        <f t="shared" ca="1" si="125"/>
        <v>0</v>
      </c>
    </row>
    <row r="66" spans="1:32" ht="12.75" customHeight="1" x14ac:dyDescent="0.2">
      <c r="D66" s="569"/>
      <c r="E66" s="204">
        <f ca="1">IF(ISERROR(E65),IF(1+COUNTIF($L$13:OFFSET(L65,-1,0),1)&lt;=MAX(QCI!$D$13:$D$24),1+COUNTIF($L$13:OFFSET(L65,-1,0),1),-1),0)</f>
        <v>0</v>
      </c>
      <c r="F66" s="204" t="str">
        <f t="shared" ref="F66" ca="1" si="126">IF(AND($E66&lt;&gt;-1,$R65&gt;0),"F","")</f>
        <v>F</v>
      </c>
      <c r="G66" s="217" t="str">
        <f ca="1">IF(OR(R65=0,R65=""),"vazia",IF(AND(OR(ACOMPANHAMENTO="PLE",$Q65&lt;&gt;2),$E66=0),"calculada","--&gt;"))</f>
        <v>calculada</v>
      </c>
      <c r="H66" s="218"/>
      <c r="I66" s="219" t="str">
        <f t="shared" ref="I66" ca="1" si="127">IF(AND(G65&lt;&gt;0,ISNUMBER(G65)),"PREENCHA ESTA LINHA --&gt;","")</f>
        <v/>
      </c>
      <c r="J66" s="219"/>
      <c r="K66" s="219"/>
      <c r="L66" s="220"/>
      <c r="M66" s="220"/>
      <c r="N66" s="220"/>
      <c r="O66" s="220"/>
      <c r="P66" s="220"/>
      <c r="Q66" s="220"/>
      <c r="R66" s="221"/>
      <c r="S66" s="222"/>
      <c r="T66" s="570">
        <v>1</v>
      </c>
      <c r="U66" s="569"/>
      <c r="V66" s="569"/>
      <c r="W66" s="569"/>
      <c r="X66" s="569"/>
      <c r="Y66" s="569"/>
      <c r="Z66" s="569"/>
      <c r="AA66" s="569"/>
      <c r="AB66" s="569"/>
      <c r="AC66" s="569"/>
      <c r="AD66" s="569"/>
      <c r="AE66" s="571"/>
      <c r="AF66" s="533"/>
    </row>
    <row r="67" spans="1:32" ht="0.2" hidden="1" customHeight="1" x14ac:dyDescent="0.2">
      <c r="D67" s="223">
        <f ca="1">IF($Q65=2,IF(AND(ACOMPANHAMENTO="PLE",ISNUMBER($E65)),SUMIF((OFFSET(CÁLCULO!$AM$15:$AW$15,$E65,0,OFFSET(ORÇAMENTO!$D$15,CRONO!$E65,0))),"="&amp;CRONO!D$12,OFFSET(CÁLCULO!$AB$15:$AL$15,$E65,0,OFFSET(ORÇAMENTO!$D$15,CRONO!$E65,0)))+IF(AND($E67&lt;&gt;"",$E67&lt;&gt;0),SUMIF(CÁLCULO!$AM$15:$AW$165,"="&amp;CRONO!D$12,CÁLCULO!$AB$15:$AL$165)/(ORÇAMENTO!$X$15-CÁLCULO.TotalAdmLocal)*CRONO!$E67,0),D66*$R65),SUMIF(OFFSET($R67,1,0,$Q65-2),($L65+1)&amp;"$",OFFSET(D67,1,0,$Q65-2)))</f>
        <v>0</v>
      </c>
      <c r="E67" s="204" t="str">
        <f ca="1">IF(OR($Q65&lt;&gt;2,AUTOEVENTO&lt;&gt;"manual",$E66&gt;0),"",SUMIF(OFFSET(CÁLCULO!$M$15,CRONO!$E65,0,OFFSET(ORÇAMENTO!$D$15,CRONO!$E65,0)),1,OFFSET(ORÇAMENTO!$X$15,CRONO!$E65,0,OFFSET(ORÇAMENTO!$D$15,CRONO!$E65,0))))</f>
        <v/>
      </c>
      <c r="G67" s="224"/>
      <c r="R67" s="225" t="str">
        <f t="shared" ref="R67" ca="1" si="128">L65&amp;"$"</f>
        <v>1$</v>
      </c>
      <c r="S67" s="226"/>
      <c r="T67" s="227">
        <f ca="1">IF($Q65=2,IF(AND(ACOMPANHAMENTO="PLE",ISNUMBER($E65)),SUMIF((OFFSET(CÁLCULO!$AM$15:$AW$15,$E65,0,OFFSET(ORÇAMENTO!$D$15,CRONO!$E65,0))),"&lt;="&amp;CRONO!T$12,OFFSET(CÁLCULO!$AB$15:$AL$15,$E65,0,OFFSET(ORÇAMENTO!$D$15,CRONO!$E65,0)))+IF(AND($E67&lt;&gt;"",$E67&lt;&gt;0),SUMIF(CÁLCULO!$AM$15:$AW$165,"&lt;="&amp;CRONO!T$12,CÁLCULO!$AB$15:$AL$165)/(ORÇAMENTO!$X$15-CÁLCULO.TotalAdmLocal)*CRONO!$E67,0),T66*$R65),SUMIF(OFFSET($R67,1,0,$Q65-2),($L65+1)&amp;"$",OFFSET(T67,1,0,$Q65-2)))</f>
        <v>1176.527</v>
      </c>
      <c r="U67" s="223">
        <f ca="1">IF($Q65=2,IF(AND(ACOMPANHAMENTO="PLE",ISNUMBER($E65)),SUMIF((OFFSET(CÁLCULO!$AM$15:$AW$15,$E65,0,OFFSET(ORÇAMENTO!$D$15,CRONO!$E65,0))),"="&amp;CRONO!U$12,OFFSET(CÁLCULO!$AB$15:$AL$15,$E65,0,OFFSET(ORÇAMENTO!$D$15,CRONO!$E65,0)))+IF(AND($E67&lt;&gt;"",$E67&lt;&gt;0),SUMIF(CÁLCULO!$AM$15:$AW$165,"="&amp;CRONO!U$12,CÁLCULO!$AB$15:$AL$165)/(ORÇAMENTO!$X$15-CÁLCULO.TotalAdmLocal)*CRONO!$E67,0),U66*$R65),SUMIF(OFFSET($R67,1,0,$Q65-2),($L65+1)&amp;"$",OFFSET(U67,1,0,$Q65-2)))</f>
        <v>18540.71</v>
      </c>
      <c r="V67" s="223">
        <f ca="1">IF($Q65=2,IF(AND(ACOMPANHAMENTO="PLE",ISNUMBER($E65)),SUMIF((OFFSET(CÁLCULO!$AM$15:$AW$15,$E65,0,OFFSET(ORÇAMENTO!$D$15,CRONO!$E65,0))),"="&amp;CRONO!V$12,OFFSET(CÁLCULO!$AB$15:$AL$15,$E65,0,OFFSET(ORÇAMENTO!$D$15,CRONO!$E65,0)))+IF(AND($E67&lt;&gt;"",$E67&lt;&gt;0),SUMIF(CÁLCULO!$AM$15:$AW$165,"="&amp;CRONO!V$12,CÁLCULO!$AB$15:$AL$165)/(ORÇAMENTO!$X$15-CÁLCULO.TotalAdmLocal)*CRONO!$E67,0),V66*$R65),SUMIF(OFFSET($R67,1,0,$Q65-2),($L65+1)&amp;"$",OFFSET(V67,1,0,$Q65-2)))</f>
        <v>8526.4029999999984</v>
      </c>
      <c r="W67" s="223">
        <f ca="1">IF($Q65=2,IF(AND(ACOMPANHAMENTO="PLE",ISNUMBER($E65)),SUMIF((OFFSET(CÁLCULO!$AM$15:$AW$15,$E65,0,OFFSET(ORÇAMENTO!$D$15,CRONO!$E65,0))),"="&amp;CRONO!W$12,OFFSET(CÁLCULO!$AB$15:$AL$15,$E65,0,OFFSET(ORÇAMENTO!$D$15,CRONO!$E65,0)))+IF(AND($E67&lt;&gt;"",$E67&lt;&gt;0),SUMIF(CÁLCULO!$AM$15:$AW$165,"="&amp;CRONO!W$12,CÁLCULO!$AB$15:$AL$165)/(ORÇAMENTO!$X$15-CÁLCULO.TotalAdmLocal)*CRONO!$E67,0),W66*$R65),SUMIF(OFFSET($R67,1,0,$Q65-2),($L65+1)&amp;"$",OFFSET(W67,1,0,$Q65-2)))</f>
        <v>0</v>
      </c>
      <c r="X67" s="223">
        <f ca="1">IF($Q65=2,IF(AND(ACOMPANHAMENTO="PLE",ISNUMBER($E65)),SUMIF((OFFSET(CÁLCULO!$AM$15:$AW$15,$E65,0,OFFSET(ORÇAMENTO!$D$15,CRONO!$E65,0))),"="&amp;CRONO!X$12,OFFSET(CÁLCULO!$AB$15:$AL$15,$E65,0,OFFSET(ORÇAMENTO!$D$15,CRONO!$E65,0)))+IF(AND($E67&lt;&gt;"",$E67&lt;&gt;0),SUMIF(CÁLCULO!$AM$15:$AW$165,"="&amp;CRONO!X$12,CÁLCULO!$AB$15:$AL$165)/(ORÇAMENTO!$X$15-CÁLCULO.TotalAdmLocal)*CRONO!$E67,0),X66*$R65),SUMIF(OFFSET($R67,1,0,$Q65-2),($L65+1)&amp;"$",OFFSET(X67,1,0,$Q65-2)))</f>
        <v>0</v>
      </c>
      <c r="Y67" s="223">
        <f ca="1">IF($Q65=2,IF(AND(ACOMPANHAMENTO="PLE",ISNUMBER($E65)),SUMIF((OFFSET(CÁLCULO!$AM$15:$AW$15,$E65,0,OFFSET(ORÇAMENTO!$D$15,CRONO!$E65,0))),"="&amp;CRONO!Y$12,OFFSET(CÁLCULO!$AB$15:$AL$15,$E65,0,OFFSET(ORÇAMENTO!$D$15,CRONO!$E65,0)))+IF(AND($E67&lt;&gt;"",$E67&lt;&gt;0),SUMIF(CÁLCULO!$AM$15:$AW$165,"="&amp;CRONO!Y$12,CÁLCULO!$AB$15:$AL$165)/(ORÇAMENTO!$X$15-CÁLCULO.TotalAdmLocal)*CRONO!$E67,0),Y66*$R65),SUMIF(OFFSET($R67,1,0,$Q65-2),($L65+1)&amp;"$",OFFSET(Y67,1,0,$Q65-2)))</f>
        <v>0</v>
      </c>
      <c r="Z67" s="223">
        <f ca="1">IF($Q65=2,IF(AND(ACOMPANHAMENTO="PLE",ISNUMBER($E65)),SUMIF((OFFSET(CÁLCULO!$AM$15:$AW$15,$E65,0,OFFSET(ORÇAMENTO!$D$15,CRONO!$E65,0))),"="&amp;CRONO!Z$12,OFFSET(CÁLCULO!$AB$15:$AL$15,$E65,0,OFFSET(ORÇAMENTO!$D$15,CRONO!$E65,0)))+IF(AND($E67&lt;&gt;"",$E67&lt;&gt;0),SUMIF(CÁLCULO!$AM$15:$AW$165,"="&amp;CRONO!Z$12,CÁLCULO!$AB$15:$AL$165)/(ORÇAMENTO!$X$15-CÁLCULO.TotalAdmLocal)*CRONO!$E67,0),Z66*$R65),SUMIF(OFFSET($R67,1,0,$Q65-2),($L65+1)&amp;"$",OFFSET(Z67,1,0,$Q65-2)))</f>
        <v>0</v>
      </c>
      <c r="AA67" s="223">
        <f ca="1">IF($Q65=2,IF(AND(ACOMPANHAMENTO="PLE",ISNUMBER($E65)),SUMIF((OFFSET(CÁLCULO!$AM$15:$AW$15,$E65,0,OFFSET(ORÇAMENTO!$D$15,CRONO!$E65,0))),"="&amp;CRONO!AA$12,OFFSET(CÁLCULO!$AB$15:$AL$15,$E65,0,OFFSET(ORÇAMENTO!$D$15,CRONO!$E65,0)))+IF(AND($E67&lt;&gt;"",$E67&lt;&gt;0),SUMIF(CÁLCULO!$AM$15:$AW$165,"="&amp;CRONO!AA$12,CÁLCULO!$AB$15:$AL$165)/(ORÇAMENTO!$X$15-CÁLCULO.TotalAdmLocal)*CRONO!$E67,0),AA66*$R65),SUMIF(OFFSET($R67,1,0,$Q65-2),($L65+1)&amp;"$",OFFSET(AA67,1,0,$Q65-2)))</f>
        <v>0</v>
      </c>
      <c r="AB67" s="223">
        <f ca="1">IF($Q65=2,IF(AND(ACOMPANHAMENTO="PLE",ISNUMBER($E65)),SUMIF((OFFSET(CÁLCULO!$AM$15:$AW$15,$E65,0,OFFSET(ORÇAMENTO!$D$15,CRONO!$E65,0))),"="&amp;CRONO!AB$12,OFFSET(CÁLCULO!$AB$15:$AL$15,$E65,0,OFFSET(ORÇAMENTO!$D$15,CRONO!$E65,0)))+IF(AND($E67&lt;&gt;"",$E67&lt;&gt;0),SUMIF(CÁLCULO!$AM$15:$AW$165,"="&amp;CRONO!AB$12,CÁLCULO!$AB$15:$AL$165)/(ORÇAMENTO!$X$15-CÁLCULO.TotalAdmLocal)*CRONO!$E67,0),AB66*$R65),SUMIF(OFFSET($R67,1,0,$Q65-2),($L65+1)&amp;"$",OFFSET(AB67,1,0,$Q65-2)))</f>
        <v>0</v>
      </c>
      <c r="AC67" s="223">
        <f ca="1">IF($Q65=2,IF(AND(ACOMPANHAMENTO="PLE",ISNUMBER($E65)),SUMIF((OFFSET(CÁLCULO!$AM$15:$AW$15,$E65,0,OFFSET(ORÇAMENTO!$D$15,CRONO!$E65,0))),"="&amp;CRONO!AC$12,OFFSET(CÁLCULO!$AB$15:$AL$15,$E65,0,OFFSET(ORÇAMENTO!$D$15,CRONO!$E65,0)))+IF(AND($E67&lt;&gt;"",$E67&lt;&gt;0),SUMIF(CÁLCULO!$AM$15:$AW$165,"="&amp;CRONO!AC$12,CÁLCULO!$AB$15:$AL$165)/(ORÇAMENTO!$X$15-CÁLCULO.TotalAdmLocal)*CRONO!$E67,0),AC66*$R65),SUMIF(OFFSET($R67,1,0,$Q65-2),($L65+1)&amp;"$",OFFSET(AC67,1,0,$Q65-2)))</f>
        <v>0</v>
      </c>
      <c r="AD67" s="223">
        <f ca="1">IF($Q65=2,IF(AND(ACOMPANHAMENTO="PLE",ISNUMBER($E65)),SUMIF((OFFSET(CÁLCULO!$AM$15:$AW$15,$E65,0,OFFSET(ORÇAMENTO!$D$15,CRONO!$E65,0))),"="&amp;CRONO!AD$12,OFFSET(CÁLCULO!$AB$15:$AL$15,$E65,0,OFFSET(ORÇAMENTO!$D$15,CRONO!$E65,0)))+IF(AND($E67&lt;&gt;"",$E67&lt;&gt;0),SUMIF(CÁLCULO!$AM$15:$AW$165,"="&amp;CRONO!AD$12,CÁLCULO!$AB$15:$AL$165)/(ORÇAMENTO!$X$15-CÁLCULO.TotalAdmLocal)*CRONO!$E67,0),AD66*$R65),SUMIF(OFFSET($R67,1,0,$Q65-2),($L65+1)&amp;"$",OFFSET(AD67,1,0,$Q65-2)))</f>
        <v>0</v>
      </c>
      <c r="AE67" s="228">
        <f ca="1">IF($Q65=2,IF(AND(ACOMPANHAMENTO="PLE",ISNUMBER($E65)),SUMIF((OFFSET(CÁLCULO!$AM$15:$AW$15,$E65,0,OFFSET(ORÇAMENTO!$D$15,CRONO!$E65,0))),"="&amp;CRONO!AE$12,OFFSET(CÁLCULO!$AB$15:$AL$15,$E65,0,OFFSET(ORÇAMENTO!$D$15,CRONO!$E65,0)))+IF(AND($E67&lt;&gt;"",$E67&lt;&gt;0),SUMIF(CÁLCULO!$AM$15:$AW$165,"="&amp;CRONO!AE$12,CÁLCULO!$AB$15:$AL$165)/(ORÇAMENTO!$X$15-CÁLCULO.TotalAdmLocal)*CRONO!$E67,0),AE66*$R65),SUMIF(OFFSET($R67,1,0,$Q65-2),($L65+1)&amp;"$",OFFSET(AE67,1,0,$Q65-2)))</f>
        <v>0</v>
      </c>
    </row>
    <row r="68" spans="1:32" x14ac:dyDescent="0.2">
      <c r="A68" s="204">
        <f t="shared" ref="A68" ca="1" si="129">OFFSET(A68,-3,0)+1</f>
        <v>19</v>
      </c>
      <c r="B68" s="204">
        <f ca="1">IF($Q68&lt;&gt;2,0,IF($R68=0,1,IF(E69&gt;0,OFFSET(QCI!$M$13,SUBSTITUTE(E69,".",""),0),OFFSET(ORÇAMENTO!$AA$15,CRONO!$E68,0))/$R68))</f>
        <v>1</v>
      </c>
      <c r="C68" s="204">
        <f ca="1">IF($Q68&lt;&gt;2,0,IF($R68=0,1,IF(E69&gt;0,OFFSET(QCI!$N$13,SUBSTITUTE(E69,".",""),0),OFFSET(ORÇAMENTO!$AB$15,CRONO!$E68,0))/$R68))</f>
        <v>0</v>
      </c>
      <c r="D68" s="207">
        <f ca="1">IF(AND($Q68=2,ACOMPANHAMENTO="BM"),D69,D70/$R68)</f>
        <v>0</v>
      </c>
      <c r="E68" s="204">
        <f ca="1">IF(A68&lt;=ORÇAMENTO.MáximoListaCrono,MATCH(A68,ORÇAMENTO.ListaCrono,0),NA())</f>
        <v>66</v>
      </c>
      <c r="F68" s="204" t="str">
        <f t="shared" ref="F68" ca="1" si="130">IF(AND($E69&lt;&gt;-1,$R68&gt;0),"F","")</f>
        <v>F</v>
      </c>
      <c r="G68" s="208">
        <f ca="1">IF(OR(R68=0,R68=""),"Linha",IF(AND(OR(ACOMPANHAMENTO="PLE",$Q68&lt;&gt;2),$E69=0),"Linha",1-SUM(T68:AF68)))</f>
        <v>0</v>
      </c>
      <c r="H68" s="209" t="str">
        <f ca="1">IF($E69=0,OFFSET(ORÇAMENTO!O$15,$E68,0),IF($E69&lt;&gt;-1,OFFSET(QCI!$D$13,$E69,0),""))</f>
        <v>6.1.</v>
      </c>
      <c r="I68" s="210" t="str">
        <f ca="1">IF($E69=0,OFFSET(ORÇAMENTO!R$15,$E68,0),IF($E69&lt;&gt;-1,OFFSET(QCI!$G$13,$E69,0),""))</f>
        <v>RAMAL DE ENTRADA DE ENERGIA</v>
      </c>
      <c r="J68" s="210"/>
      <c r="K68" s="210"/>
      <c r="L68" s="211">
        <f ca="1">IF($E69=0,OFFSET(ORÇAMENTO!C$15,$E68,0),1)</f>
        <v>2</v>
      </c>
      <c r="M68" s="212">
        <f ca="1">IF($E69=-1,0,IF(M$13&lt;=$L68,IF(ISERROR(MATCH(M$13,OFFSET($L68,1,0,ROW($L$113)-ROW($L68)-1),0)),ROW($L$113)-ROW($L68)-1,MATCH(M$13,OFFSET($L68,1,0,ROW($L$113)-ROW($L68)-1),0)-1),0))</f>
        <v>8</v>
      </c>
      <c r="N68" s="212">
        <f ca="1">IF($E69=-1,0,IF(N$13&lt;=$L68,IF(ISERROR(MATCH(N$13,OFFSET($L68,1,0,ROW($L$113)-ROW($L68)-1),0)),ROW($L$113)-ROW($L68)-1,MATCH(N$13,OFFSET($L68,1,0,ROW($L$113)-ROW($L68)-1),0)-1),0))</f>
        <v>2</v>
      </c>
      <c r="O68" s="212">
        <f ca="1">IF($E69=-1,0,IF(O$13&lt;=$L68,IF(ISERROR(MATCH(O$13,OFFSET($L68,1,0,ROW($L$113)-ROW($L68)-1),0)),ROW($L$113)-ROW($L68)-1,MATCH(O$13,OFFSET($L68,1,0,ROW($L$113)-ROW($L68)-1),0)-1),0))</f>
        <v>0</v>
      </c>
      <c r="P68" s="212">
        <f ca="1">IF($E69=-1,0,IF(P$13&lt;=$L68,IF(ISERROR(MATCH(P$13,OFFSET($L68,1,0,ROW($L$113)-ROW($L68)-1),0)),ROW($L$113)-ROW($L68)-1,MATCH(P$13,OFFSET($L68,1,0,ROW($L$113)-ROW($L68)-1),0)-1),0))</f>
        <v>0</v>
      </c>
      <c r="Q68" s="212">
        <f t="shared" ref="Q68" ca="1" si="131">MIN(OFFSET(L68,0,1,,L68))</f>
        <v>2</v>
      </c>
      <c r="R68" s="213">
        <f ca="1">IF($E69=0,OFFSET(ORÇAMENTO!X$15,$E68,0),IF($E69&lt;&gt;-1,OFFSET(QCI!$O$13,$E69,0),""))</f>
        <v>4252.87</v>
      </c>
      <c r="S68" s="214" t="s">
        <v>270</v>
      </c>
      <c r="T68" s="215">
        <f t="shared" ref="T68:AE68" ca="1" si="132">IF(AND($Q68=2,ACOMPANHAMENTO="BM"),T69,T70/$R68)</f>
        <v>0.1</v>
      </c>
      <c r="U68" s="207">
        <f t="shared" ca="1" si="132"/>
        <v>0.2</v>
      </c>
      <c r="V68" s="207">
        <f t="shared" ca="1" si="132"/>
        <v>0.7</v>
      </c>
      <c r="W68" s="207">
        <f t="shared" ca="1" si="132"/>
        <v>0</v>
      </c>
      <c r="X68" s="207">
        <f t="shared" ca="1" si="132"/>
        <v>0</v>
      </c>
      <c r="Y68" s="207">
        <f t="shared" ca="1" si="132"/>
        <v>0</v>
      </c>
      <c r="Z68" s="207">
        <f t="shared" ca="1" si="132"/>
        <v>0</v>
      </c>
      <c r="AA68" s="207">
        <f t="shared" ca="1" si="132"/>
        <v>0</v>
      </c>
      <c r="AB68" s="207">
        <f t="shared" ca="1" si="132"/>
        <v>0</v>
      </c>
      <c r="AC68" s="207">
        <f t="shared" ca="1" si="132"/>
        <v>0</v>
      </c>
      <c r="AD68" s="207">
        <f t="shared" ca="1" si="132"/>
        <v>0</v>
      </c>
      <c r="AE68" s="216">
        <f t="shared" ca="1" si="132"/>
        <v>0</v>
      </c>
    </row>
    <row r="69" spans="1:32" ht="12.75" customHeight="1" x14ac:dyDescent="0.2">
      <c r="D69" s="569"/>
      <c r="E69" s="204">
        <f ca="1">IF(ISERROR(E68),IF(1+COUNTIF($L$13:OFFSET(L68,-1,0),1)&lt;=MAX(QCI!$D$13:$D$24),1+COUNTIF($L$13:OFFSET(L68,-1,0),1),-1),0)</f>
        <v>0</v>
      </c>
      <c r="F69" s="204" t="str">
        <f t="shared" ref="F69" ca="1" si="133">IF(AND($E69&lt;&gt;-1,$R68&gt;0),"F","")</f>
        <v>F</v>
      </c>
      <c r="G69" s="217" t="str">
        <f ca="1">IF(OR(R68=0,R68=""),"vazia",IF(AND(OR(ACOMPANHAMENTO="PLE",$Q68&lt;&gt;2),$E69=0),"calculada","--&gt;"))</f>
        <v>--&gt;</v>
      </c>
      <c r="H69" s="218"/>
      <c r="I69" s="219" t="str">
        <f t="shared" ref="I69" ca="1" si="134">IF(AND(G68&lt;&gt;0,ISNUMBER(G68)),"PREENCHA ESTA LINHA --&gt;","")</f>
        <v/>
      </c>
      <c r="J69" s="219"/>
      <c r="K69" s="219"/>
      <c r="L69" s="220"/>
      <c r="M69" s="220"/>
      <c r="N69" s="220"/>
      <c r="O69" s="220"/>
      <c r="P69" s="220"/>
      <c r="Q69" s="220"/>
      <c r="R69" s="221"/>
      <c r="S69" s="222"/>
      <c r="T69" s="570">
        <v>0.1</v>
      </c>
      <c r="U69" s="569">
        <v>0.2</v>
      </c>
      <c r="V69" s="569">
        <v>0.7</v>
      </c>
      <c r="W69" s="569"/>
      <c r="X69" s="569"/>
      <c r="Y69" s="569"/>
      <c r="Z69" s="569"/>
      <c r="AA69" s="569"/>
      <c r="AB69" s="569"/>
      <c r="AC69" s="569"/>
      <c r="AD69" s="569"/>
      <c r="AE69" s="571"/>
      <c r="AF69" s="533"/>
    </row>
    <row r="70" spans="1:32" ht="0.2" hidden="1" customHeight="1" x14ac:dyDescent="0.2">
      <c r="D70" s="223">
        <f ca="1">IF($Q68=2,IF(AND(ACOMPANHAMENTO="PLE",ISNUMBER($E68)),SUMIF((OFFSET(CÁLCULO!$AM$15:$AW$15,$E68,0,OFFSET(ORÇAMENTO!$D$15,CRONO!$E68,0))),"="&amp;CRONO!D$12,OFFSET(CÁLCULO!$AB$15:$AL$15,$E68,0,OFFSET(ORÇAMENTO!$D$15,CRONO!$E68,0)))+IF(AND($E70&lt;&gt;"",$E70&lt;&gt;0),SUMIF(CÁLCULO!$AM$15:$AW$165,"="&amp;CRONO!D$12,CÁLCULO!$AB$15:$AL$165)/(ORÇAMENTO!$X$15-CÁLCULO.TotalAdmLocal)*CRONO!$E70,0),D69*$R68),SUMIF(OFFSET($R70,1,0,$Q68-2),($L68+1)&amp;"$",OFFSET(D70,1,0,$Q68-2)))</f>
        <v>0</v>
      </c>
      <c r="E70" s="204" t="str">
        <f ca="1">IF(OR($Q68&lt;&gt;2,AUTOEVENTO&lt;&gt;"manual",$E69&gt;0),"",SUMIF(OFFSET(CÁLCULO!$M$15,CRONO!$E68,0,OFFSET(ORÇAMENTO!$D$15,CRONO!$E68,0)),1,OFFSET(ORÇAMENTO!$X$15,CRONO!$E68,0,OFFSET(ORÇAMENTO!$D$15,CRONO!$E68,0))))</f>
        <v/>
      </c>
      <c r="G70" s="224"/>
      <c r="R70" s="225" t="str">
        <f t="shared" ref="R70" ca="1" si="135">L68&amp;"$"</f>
        <v>2$</v>
      </c>
      <c r="S70" s="226"/>
      <c r="T70" s="227">
        <f ca="1">IF($Q68=2,IF(AND(ACOMPANHAMENTO="PLE",ISNUMBER($E68)),SUMIF((OFFSET(CÁLCULO!$AM$15:$AW$15,$E68,0,OFFSET(ORÇAMENTO!$D$15,CRONO!$E68,0))),"&lt;="&amp;CRONO!T$12,OFFSET(CÁLCULO!$AB$15:$AL$15,$E68,0,OFFSET(ORÇAMENTO!$D$15,CRONO!$E68,0)))+IF(AND($E70&lt;&gt;"",$E70&lt;&gt;0),SUMIF(CÁLCULO!$AM$15:$AW$165,"&lt;="&amp;CRONO!T$12,CÁLCULO!$AB$15:$AL$165)/(ORÇAMENTO!$X$15-CÁLCULO.TotalAdmLocal)*CRONO!$E70,0),T69*$R68),SUMIF(OFFSET($R70,1,0,$Q68-2),($L68+1)&amp;"$",OFFSET(T70,1,0,$Q68-2)))</f>
        <v>425.28700000000003</v>
      </c>
      <c r="U70" s="223">
        <f ca="1">IF($Q68=2,IF(AND(ACOMPANHAMENTO="PLE",ISNUMBER($E68)),SUMIF((OFFSET(CÁLCULO!$AM$15:$AW$15,$E68,0,OFFSET(ORÇAMENTO!$D$15,CRONO!$E68,0))),"="&amp;CRONO!U$12,OFFSET(CÁLCULO!$AB$15:$AL$15,$E68,0,OFFSET(ORÇAMENTO!$D$15,CRONO!$E68,0)))+IF(AND($E70&lt;&gt;"",$E70&lt;&gt;0),SUMIF(CÁLCULO!$AM$15:$AW$165,"="&amp;CRONO!U$12,CÁLCULO!$AB$15:$AL$165)/(ORÇAMENTO!$X$15-CÁLCULO.TotalAdmLocal)*CRONO!$E70,0),U69*$R68),SUMIF(OFFSET($R70,1,0,$Q68-2),($L68+1)&amp;"$",OFFSET(U70,1,0,$Q68-2)))</f>
        <v>850.57400000000007</v>
      </c>
      <c r="V70" s="223">
        <f ca="1">IF($Q68=2,IF(AND(ACOMPANHAMENTO="PLE",ISNUMBER($E68)),SUMIF((OFFSET(CÁLCULO!$AM$15:$AW$15,$E68,0,OFFSET(ORÇAMENTO!$D$15,CRONO!$E68,0))),"="&amp;CRONO!V$12,OFFSET(CÁLCULO!$AB$15:$AL$15,$E68,0,OFFSET(ORÇAMENTO!$D$15,CRONO!$E68,0)))+IF(AND($E70&lt;&gt;"",$E70&lt;&gt;0),SUMIF(CÁLCULO!$AM$15:$AW$165,"="&amp;CRONO!V$12,CÁLCULO!$AB$15:$AL$165)/(ORÇAMENTO!$X$15-CÁLCULO.TotalAdmLocal)*CRONO!$E70,0),V69*$R68),SUMIF(OFFSET($R70,1,0,$Q68-2),($L68+1)&amp;"$",OFFSET(V70,1,0,$Q68-2)))</f>
        <v>2977.0089999999996</v>
      </c>
      <c r="W70" s="223">
        <f ca="1">IF($Q68=2,IF(AND(ACOMPANHAMENTO="PLE",ISNUMBER($E68)),SUMIF((OFFSET(CÁLCULO!$AM$15:$AW$15,$E68,0,OFFSET(ORÇAMENTO!$D$15,CRONO!$E68,0))),"="&amp;CRONO!W$12,OFFSET(CÁLCULO!$AB$15:$AL$15,$E68,0,OFFSET(ORÇAMENTO!$D$15,CRONO!$E68,0)))+IF(AND($E70&lt;&gt;"",$E70&lt;&gt;0),SUMIF(CÁLCULO!$AM$15:$AW$165,"="&amp;CRONO!W$12,CÁLCULO!$AB$15:$AL$165)/(ORÇAMENTO!$X$15-CÁLCULO.TotalAdmLocal)*CRONO!$E70,0),W69*$R68),SUMIF(OFFSET($R70,1,0,$Q68-2),($L68+1)&amp;"$",OFFSET(W70,1,0,$Q68-2)))</f>
        <v>0</v>
      </c>
      <c r="X70" s="223">
        <f ca="1">IF($Q68=2,IF(AND(ACOMPANHAMENTO="PLE",ISNUMBER($E68)),SUMIF((OFFSET(CÁLCULO!$AM$15:$AW$15,$E68,0,OFFSET(ORÇAMENTO!$D$15,CRONO!$E68,0))),"="&amp;CRONO!X$12,OFFSET(CÁLCULO!$AB$15:$AL$15,$E68,0,OFFSET(ORÇAMENTO!$D$15,CRONO!$E68,0)))+IF(AND($E70&lt;&gt;"",$E70&lt;&gt;0),SUMIF(CÁLCULO!$AM$15:$AW$165,"="&amp;CRONO!X$12,CÁLCULO!$AB$15:$AL$165)/(ORÇAMENTO!$X$15-CÁLCULO.TotalAdmLocal)*CRONO!$E70,0),X69*$R68),SUMIF(OFFSET($R70,1,0,$Q68-2),($L68+1)&amp;"$",OFFSET(X70,1,0,$Q68-2)))</f>
        <v>0</v>
      </c>
      <c r="Y70" s="223">
        <f ca="1">IF($Q68=2,IF(AND(ACOMPANHAMENTO="PLE",ISNUMBER($E68)),SUMIF((OFFSET(CÁLCULO!$AM$15:$AW$15,$E68,0,OFFSET(ORÇAMENTO!$D$15,CRONO!$E68,0))),"="&amp;CRONO!Y$12,OFFSET(CÁLCULO!$AB$15:$AL$15,$E68,0,OFFSET(ORÇAMENTO!$D$15,CRONO!$E68,0)))+IF(AND($E70&lt;&gt;"",$E70&lt;&gt;0),SUMIF(CÁLCULO!$AM$15:$AW$165,"="&amp;CRONO!Y$12,CÁLCULO!$AB$15:$AL$165)/(ORÇAMENTO!$X$15-CÁLCULO.TotalAdmLocal)*CRONO!$E70,0),Y69*$R68),SUMIF(OFFSET($R70,1,0,$Q68-2),($L68+1)&amp;"$",OFFSET(Y70,1,0,$Q68-2)))</f>
        <v>0</v>
      </c>
      <c r="Z70" s="223">
        <f ca="1">IF($Q68=2,IF(AND(ACOMPANHAMENTO="PLE",ISNUMBER($E68)),SUMIF((OFFSET(CÁLCULO!$AM$15:$AW$15,$E68,0,OFFSET(ORÇAMENTO!$D$15,CRONO!$E68,0))),"="&amp;CRONO!Z$12,OFFSET(CÁLCULO!$AB$15:$AL$15,$E68,0,OFFSET(ORÇAMENTO!$D$15,CRONO!$E68,0)))+IF(AND($E70&lt;&gt;"",$E70&lt;&gt;0),SUMIF(CÁLCULO!$AM$15:$AW$165,"="&amp;CRONO!Z$12,CÁLCULO!$AB$15:$AL$165)/(ORÇAMENTO!$X$15-CÁLCULO.TotalAdmLocal)*CRONO!$E70,0),Z69*$R68),SUMIF(OFFSET($R70,1,0,$Q68-2),($L68+1)&amp;"$",OFFSET(Z70,1,0,$Q68-2)))</f>
        <v>0</v>
      </c>
      <c r="AA70" s="223">
        <f ca="1">IF($Q68=2,IF(AND(ACOMPANHAMENTO="PLE",ISNUMBER($E68)),SUMIF((OFFSET(CÁLCULO!$AM$15:$AW$15,$E68,0,OFFSET(ORÇAMENTO!$D$15,CRONO!$E68,0))),"="&amp;CRONO!AA$12,OFFSET(CÁLCULO!$AB$15:$AL$15,$E68,0,OFFSET(ORÇAMENTO!$D$15,CRONO!$E68,0)))+IF(AND($E70&lt;&gt;"",$E70&lt;&gt;0),SUMIF(CÁLCULO!$AM$15:$AW$165,"="&amp;CRONO!AA$12,CÁLCULO!$AB$15:$AL$165)/(ORÇAMENTO!$X$15-CÁLCULO.TotalAdmLocal)*CRONO!$E70,0),AA69*$R68),SUMIF(OFFSET($R70,1,0,$Q68-2),($L68+1)&amp;"$",OFFSET(AA70,1,0,$Q68-2)))</f>
        <v>0</v>
      </c>
      <c r="AB70" s="223">
        <f ca="1">IF($Q68=2,IF(AND(ACOMPANHAMENTO="PLE",ISNUMBER($E68)),SUMIF((OFFSET(CÁLCULO!$AM$15:$AW$15,$E68,0,OFFSET(ORÇAMENTO!$D$15,CRONO!$E68,0))),"="&amp;CRONO!AB$12,OFFSET(CÁLCULO!$AB$15:$AL$15,$E68,0,OFFSET(ORÇAMENTO!$D$15,CRONO!$E68,0)))+IF(AND($E70&lt;&gt;"",$E70&lt;&gt;0),SUMIF(CÁLCULO!$AM$15:$AW$165,"="&amp;CRONO!AB$12,CÁLCULO!$AB$15:$AL$165)/(ORÇAMENTO!$X$15-CÁLCULO.TotalAdmLocal)*CRONO!$E70,0),AB69*$R68),SUMIF(OFFSET($R70,1,0,$Q68-2),($L68+1)&amp;"$",OFFSET(AB70,1,0,$Q68-2)))</f>
        <v>0</v>
      </c>
      <c r="AC70" s="223">
        <f ca="1">IF($Q68=2,IF(AND(ACOMPANHAMENTO="PLE",ISNUMBER($E68)),SUMIF((OFFSET(CÁLCULO!$AM$15:$AW$15,$E68,0,OFFSET(ORÇAMENTO!$D$15,CRONO!$E68,0))),"="&amp;CRONO!AC$12,OFFSET(CÁLCULO!$AB$15:$AL$15,$E68,0,OFFSET(ORÇAMENTO!$D$15,CRONO!$E68,0)))+IF(AND($E70&lt;&gt;"",$E70&lt;&gt;0),SUMIF(CÁLCULO!$AM$15:$AW$165,"="&amp;CRONO!AC$12,CÁLCULO!$AB$15:$AL$165)/(ORÇAMENTO!$X$15-CÁLCULO.TotalAdmLocal)*CRONO!$E70,0),AC69*$R68),SUMIF(OFFSET($R70,1,0,$Q68-2),($L68+1)&amp;"$",OFFSET(AC70,1,0,$Q68-2)))</f>
        <v>0</v>
      </c>
      <c r="AD70" s="223">
        <f ca="1">IF($Q68=2,IF(AND(ACOMPANHAMENTO="PLE",ISNUMBER($E68)),SUMIF((OFFSET(CÁLCULO!$AM$15:$AW$15,$E68,0,OFFSET(ORÇAMENTO!$D$15,CRONO!$E68,0))),"="&amp;CRONO!AD$12,OFFSET(CÁLCULO!$AB$15:$AL$15,$E68,0,OFFSET(ORÇAMENTO!$D$15,CRONO!$E68,0)))+IF(AND($E70&lt;&gt;"",$E70&lt;&gt;0),SUMIF(CÁLCULO!$AM$15:$AW$165,"="&amp;CRONO!AD$12,CÁLCULO!$AB$15:$AL$165)/(ORÇAMENTO!$X$15-CÁLCULO.TotalAdmLocal)*CRONO!$E70,0),AD69*$R68),SUMIF(OFFSET($R70,1,0,$Q68-2),($L68+1)&amp;"$",OFFSET(AD70,1,0,$Q68-2)))</f>
        <v>0</v>
      </c>
      <c r="AE70" s="228">
        <f ca="1">IF($Q68=2,IF(AND(ACOMPANHAMENTO="PLE",ISNUMBER($E68)),SUMIF((OFFSET(CÁLCULO!$AM$15:$AW$15,$E68,0,OFFSET(ORÇAMENTO!$D$15,CRONO!$E68,0))),"="&amp;CRONO!AE$12,OFFSET(CÁLCULO!$AB$15:$AL$15,$E68,0,OFFSET(ORÇAMENTO!$D$15,CRONO!$E68,0)))+IF(AND($E70&lt;&gt;"",$E70&lt;&gt;0),SUMIF(CÁLCULO!$AM$15:$AW$165,"="&amp;CRONO!AE$12,CÁLCULO!$AB$15:$AL$165)/(ORÇAMENTO!$X$15-CÁLCULO.TotalAdmLocal)*CRONO!$E70,0),AE69*$R68),SUMIF(OFFSET($R70,1,0,$Q68-2),($L68+1)&amp;"$",OFFSET(AE70,1,0,$Q68-2)))</f>
        <v>0</v>
      </c>
    </row>
    <row r="71" spans="1:32" x14ac:dyDescent="0.2">
      <c r="A71" s="204">
        <f t="shared" ref="A71" ca="1" si="136">OFFSET(A71,-3,0)+1</f>
        <v>20</v>
      </c>
      <c r="B71" s="204">
        <f ca="1">IF($Q71&lt;&gt;2,0,IF($R71=0,1,IF(E72&gt;0,OFFSET(QCI!$M$13,SUBSTITUTE(E72,".",""),0),OFFSET(ORÇAMENTO!$AA$15,CRONO!$E71,0))/$R71))</f>
        <v>1</v>
      </c>
      <c r="C71" s="204">
        <f ca="1">IF($Q71&lt;&gt;2,0,IF($R71=0,1,IF(E72&gt;0,OFFSET(QCI!$N$13,SUBSTITUTE(E72,".",""),0),OFFSET(ORÇAMENTO!$AB$15,CRONO!$E71,0))/$R71))</f>
        <v>0</v>
      </c>
      <c r="D71" s="207">
        <f ca="1">IF(AND($Q71=2,ACOMPANHAMENTO="BM"),D72,D73/$R71)</f>
        <v>0</v>
      </c>
      <c r="E71" s="204">
        <f ca="1">IF(A71&lt;=ORÇAMENTO.MáximoListaCrono,MATCH(A71,ORÇAMENTO.ListaCrono,0),NA())</f>
        <v>69</v>
      </c>
      <c r="F71" s="204" t="str">
        <f t="shared" ref="F71" ca="1" si="137">IF(AND($E72&lt;&gt;-1,$R71&gt;0),"F","")</f>
        <v>F</v>
      </c>
      <c r="G71" s="208">
        <f ca="1">IF(OR(R71=0,R71=""),"Linha",IF(AND(OR(ACOMPANHAMENTO="PLE",$Q71&lt;&gt;2),$E72=0),"Linha",1-SUM(T71:AF71)))</f>
        <v>0</v>
      </c>
      <c r="H71" s="209" t="str">
        <f ca="1">IF($E72=0,OFFSET(ORÇAMENTO!O$15,$E71,0),IF($E72&lt;&gt;-1,OFFSET(QCI!$D$13,$E72,0),""))</f>
        <v>6.2.</v>
      </c>
      <c r="I71" s="210" t="str">
        <f ca="1">IF($E72=0,OFFSET(ORÇAMENTO!R$15,$E71,0),IF($E72&lt;&gt;-1,OFFSET(QCI!$G$13,$E72,0),""))</f>
        <v>INSTALAÇÕES ELÉTRICAS</v>
      </c>
      <c r="J71" s="210"/>
      <c r="K71" s="210"/>
      <c r="L71" s="211">
        <f ca="1">IF($E72=0,OFFSET(ORÇAMENTO!C$15,$E71,0),1)</f>
        <v>2</v>
      </c>
      <c r="M71" s="212">
        <f ca="1">IF($E72=-1,0,IF(M$13&lt;=$L71,IF(ISERROR(MATCH(M$13,OFFSET($L71,1,0,ROW($L$113)-ROW($L71)-1),0)),ROW($L$113)-ROW($L71)-1,MATCH(M$13,OFFSET($L71,1,0,ROW($L$113)-ROW($L71)-1),0)-1),0))</f>
        <v>5</v>
      </c>
      <c r="N71" s="212">
        <f ca="1">IF($E72=-1,0,IF(N$13&lt;=$L71,IF(ISERROR(MATCH(N$13,OFFSET($L71,1,0,ROW($L$113)-ROW($L71)-1),0)),ROW($L$113)-ROW($L71)-1,MATCH(N$13,OFFSET($L71,1,0,ROW($L$113)-ROW($L71)-1),0)-1),0))</f>
        <v>2</v>
      </c>
      <c r="O71" s="212">
        <f ca="1">IF($E72=-1,0,IF(O$13&lt;=$L71,IF(ISERROR(MATCH(O$13,OFFSET($L71,1,0,ROW($L$113)-ROW($L71)-1),0)),ROW($L$113)-ROW($L71)-1,MATCH(O$13,OFFSET($L71,1,0,ROW($L$113)-ROW($L71)-1),0)-1),0))</f>
        <v>0</v>
      </c>
      <c r="P71" s="212">
        <f ca="1">IF($E72=-1,0,IF(P$13&lt;=$L71,IF(ISERROR(MATCH(P$13,OFFSET($L71,1,0,ROW($L$113)-ROW($L71)-1),0)),ROW($L$113)-ROW($L71)-1,MATCH(P$13,OFFSET($L71,1,0,ROW($L$113)-ROW($L71)-1),0)-1),0))</f>
        <v>0</v>
      </c>
      <c r="Q71" s="212">
        <f t="shared" ref="Q71" ca="1" si="138">MIN(OFFSET(L71,0,1,,L71))</f>
        <v>2</v>
      </c>
      <c r="R71" s="213">
        <f ca="1">IF($E72=0,OFFSET(ORÇAMENTO!X$15,$E71,0),IF($E72&lt;&gt;-1,OFFSET(QCI!$O$13,$E72,0),""))</f>
        <v>7512.4</v>
      </c>
      <c r="S71" s="214" t="s">
        <v>270</v>
      </c>
      <c r="T71" s="215">
        <f t="shared" ref="T71:AE71" ca="1" si="139">IF(AND($Q71=2,ACOMPANHAMENTO="BM"),T72,T73/$R71)</f>
        <v>0.1</v>
      </c>
      <c r="U71" s="207">
        <f t="shared" ca="1" si="139"/>
        <v>0.6</v>
      </c>
      <c r="V71" s="207">
        <f t="shared" ca="1" si="139"/>
        <v>0.3</v>
      </c>
      <c r="W71" s="207">
        <f t="shared" ca="1" si="139"/>
        <v>0</v>
      </c>
      <c r="X71" s="207">
        <f t="shared" ca="1" si="139"/>
        <v>0</v>
      </c>
      <c r="Y71" s="207">
        <f t="shared" ca="1" si="139"/>
        <v>0</v>
      </c>
      <c r="Z71" s="207">
        <f t="shared" ca="1" si="139"/>
        <v>0</v>
      </c>
      <c r="AA71" s="207">
        <f t="shared" ca="1" si="139"/>
        <v>0</v>
      </c>
      <c r="AB71" s="207">
        <f t="shared" ca="1" si="139"/>
        <v>0</v>
      </c>
      <c r="AC71" s="207">
        <f t="shared" ca="1" si="139"/>
        <v>0</v>
      </c>
      <c r="AD71" s="207">
        <f t="shared" ca="1" si="139"/>
        <v>0</v>
      </c>
      <c r="AE71" s="216">
        <f t="shared" ca="1" si="139"/>
        <v>0</v>
      </c>
    </row>
    <row r="72" spans="1:32" ht="12.75" customHeight="1" x14ac:dyDescent="0.2">
      <c r="D72" s="569"/>
      <c r="E72" s="204">
        <f ca="1">IF(ISERROR(E71),IF(1+COUNTIF($L$13:OFFSET(L71,-1,0),1)&lt;=MAX(QCI!$D$13:$D$24),1+COUNTIF($L$13:OFFSET(L71,-1,0),1),-1),0)</f>
        <v>0</v>
      </c>
      <c r="F72" s="204" t="str">
        <f t="shared" ref="F72" ca="1" si="140">IF(AND($E72&lt;&gt;-1,$R71&gt;0),"F","")</f>
        <v>F</v>
      </c>
      <c r="G72" s="217" t="str">
        <f ca="1">IF(OR(R71=0,R71=""),"vazia",IF(AND(OR(ACOMPANHAMENTO="PLE",$Q71&lt;&gt;2),$E72=0),"calculada","--&gt;"))</f>
        <v>--&gt;</v>
      </c>
      <c r="H72" s="218"/>
      <c r="I72" s="219" t="str">
        <f t="shared" ref="I72" ca="1" si="141">IF(AND(G71&lt;&gt;0,ISNUMBER(G71)),"PREENCHA ESTA LINHA --&gt;","")</f>
        <v/>
      </c>
      <c r="J72" s="219"/>
      <c r="K72" s="219"/>
      <c r="L72" s="220"/>
      <c r="M72" s="220"/>
      <c r="N72" s="220"/>
      <c r="O72" s="220"/>
      <c r="P72" s="220"/>
      <c r="Q72" s="220"/>
      <c r="R72" s="221"/>
      <c r="S72" s="222"/>
      <c r="T72" s="570">
        <v>0.1</v>
      </c>
      <c r="U72" s="569">
        <v>0.6</v>
      </c>
      <c r="V72" s="569">
        <v>0.3</v>
      </c>
      <c r="W72" s="569"/>
      <c r="X72" s="569"/>
      <c r="Y72" s="569"/>
      <c r="Z72" s="569"/>
      <c r="AA72" s="569"/>
      <c r="AB72" s="569"/>
      <c r="AC72" s="569"/>
      <c r="AD72" s="569"/>
      <c r="AE72" s="571"/>
      <c r="AF72" s="533"/>
    </row>
    <row r="73" spans="1:32" ht="0.2" hidden="1" customHeight="1" x14ac:dyDescent="0.2">
      <c r="D73" s="223">
        <f ca="1">IF($Q71=2,IF(AND(ACOMPANHAMENTO="PLE",ISNUMBER($E71)),SUMIF((OFFSET(CÁLCULO!$AM$15:$AW$15,$E71,0,OFFSET(ORÇAMENTO!$D$15,CRONO!$E71,0))),"="&amp;CRONO!D$12,OFFSET(CÁLCULO!$AB$15:$AL$15,$E71,0,OFFSET(ORÇAMENTO!$D$15,CRONO!$E71,0)))+IF(AND($E73&lt;&gt;"",$E73&lt;&gt;0),SUMIF(CÁLCULO!$AM$15:$AW$165,"="&amp;CRONO!D$12,CÁLCULO!$AB$15:$AL$165)/(ORÇAMENTO!$X$15-CÁLCULO.TotalAdmLocal)*CRONO!$E73,0),D72*$R71),SUMIF(OFFSET($R73,1,0,$Q71-2),($L71+1)&amp;"$",OFFSET(D73,1,0,$Q71-2)))</f>
        <v>0</v>
      </c>
      <c r="E73" s="204" t="str">
        <f ca="1">IF(OR($Q71&lt;&gt;2,AUTOEVENTO&lt;&gt;"manual",$E72&gt;0),"",SUMIF(OFFSET(CÁLCULO!$M$15,CRONO!$E71,0,OFFSET(ORÇAMENTO!$D$15,CRONO!$E71,0)),1,OFFSET(ORÇAMENTO!$X$15,CRONO!$E71,0,OFFSET(ORÇAMENTO!$D$15,CRONO!$E71,0))))</f>
        <v/>
      </c>
      <c r="G73" s="224"/>
      <c r="R73" s="225" t="str">
        <f t="shared" ref="R73" ca="1" si="142">L71&amp;"$"</f>
        <v>2$</v>
      </c>
      <c r="S73" s="226"/>
      <c r="T73" s="227">
        <f ca="1">IF($Q71=2,IF(AND(ACOMPANHAMENTO="PLE",ISNUMBER($E71)),SUMIF((OFFSET(CÁLCULO!$AM$15:$AW$15,$E71,0,OFFSET(ORÇAMENTO!$D$15,CRONO!$E71,0))),"&lt;="&amp;CRONO!T$12,OFFSET(CÁLCULO!$AB$15:$AL$15,$E71,0,OFFSET(ORÇAMENTO!$D$15,CRONO!$E71,0)))+IF(AND($E73&lt;&gt;"",$E73&lt;&gt;0),SUMIF(CÁLCULO!$AM$15:$AW$165,"&lt;="&amp;CRONO!T$12,CÁLCULO!$AB$15:$AL$165)/(ORÇAMENTO!$X$15-CÁLCULO.TotalAdmLocal)*CRONO!$E73,0),T72*$R71),SUMIF(OFFSET($R73,1,0,$Q71-2),($L71+1)&amp;"$",OFFSET(T73,1,0,$Q71-2)))</f>
        <v>751.24</v>
      </c>
      <c r="U73" s="223">
        <f ca="1">IF($Q71=2,IF(AND(ACOMPANHAMENTO="PLE",ISNUMBER($E71)),SUMIF((OFFSET(CÁLCULO!$AM$15:$AW$15,$E71,0,OFFSET(ORÇAMENTO!$D$15,CRONO!$E71,0))),"="&amp;CRONO!U$12,OFFSET(CÁLCULO!$AB$15:$AL$15,$E71,0,OFFSET(ORÇAMENTO!$D$15,CRONO!$E71,0)))+IF(AND($E73&lt;&gt;"",$E73&lt;&gt;0),SUMIF(CÁLCULO!$AM$15:$AW$165,"="&amp;CRONO!U$12,CÁLCULO!$AB$15:$AL$165)/(ORÇAMENTO!$X$15-CÁLCULO.TotalAdmLocal)*CRONO!$E73,0),U72*$R71),SUMIF(OFFSET($R73,1,0,$Q71-2),($L71+1)&amp;"$",OFFSET(U73,1,0,$Q71-2)))</f>
        <v>4507.4399999999996</v>
      </c>
      <c r="V73" s="223">
        <f ca="1">IF($Q71=2,IF(AND(ACOMPANHAMENTO="PLE",ISNUMBER($E71)),SUMIF((OFFSET(CÁLCULO!$AM$15:$AW$15,$E71,0,OFFSET(ORÇAMENTO!$D$15,CRONO!$E71,0))),"="&amp;CRONO!V$12,OFFSET(CÁLCULO!$AB$15:$AL$15,$E71,0,OFFSET(ORÇAMENTO!$D$15,CRONO!$E71,0)))+IF(AND($E73&lt;&gt;"",$E73&lt;&gt;0),SUMIF(CÁLCULO!$AM$15:$AW$165,"="&amp;CRONO!V$12,CÁLCULO!$AB$15:$AL$165)/(ORÇAMENTO!$X$15-CÁLCULO.TotalAdmLocal)*CRONO!$E73,0),V72*$R71),SUMIF(OFFSET($R73,1,0,$Q71-2),($L71+1)&amp;"$",OFFSET(V73,1,0,$Q71-2)))</f>
        <v>2253.7199999999998</v>
      </c>
      <c r="W73" s="223">
        <f ca="1">IF($Q71=2,IF(AND(ACOMPANHAMENTO="PLE",ISNUMBER($E71)),SUMIF((OFFSET(CÁLCULO!$AM$15:$AW$15,$E71,0,OFFSET(ORÇAMENTO!$D$15,CRONO!$E71,0))),"="&amp;CRONO!W$12,OFFSET(CÁLCULO!$AB$15:$AL$15,$E71,0,OFFSET(ORÇAMENTO!$D$15,CRONO!$E71,0)))+IF(AND($E73&lt;&gt;"",$E73&lt;&gt;0),SUMIF(CÁLCULO!$AM$15:$AW$165,"="&amp;CRONO!W$12,CÁLCULO!$AB$15:$AL$165)/(ORÇAMENTO!$X$15-CÁLCULO.TotalAdmLocal)*CRONO!$E73,0),W72*$R71),SUMIF(OFFSET($R73,1,0,$Q71-2),($L71+1)&amp;"$",OFFSET(W73,1,0,$Q71-2)))</f>
        <v>0</v>
      </c>
      <c r="X73" s="223">
        <f ca="1">IF($Q71=2,IF(AND(ACOMPANHAMENTO="PLE",ISNUMBER($E71)),SUMIF((OFFSET(CÁLCULO!$AM$15:$AW$15,$E71,0,OFFSET(ORÇAMENTO!$D$15,CRONO!$E71,0))),"="&amp;CRONO!X$12,OFFSET(CÁLCULO!$AB$15:$AL$15,$E71,0,OFFSET(ORÇAMENTO!$D$15,CRONO!$E71,0)))+IF(AND($E73&lt;&gt;"",$E73&lt;&gt;0),SUMIF(CÁLCULO!$AM$15:$AW$165,"="&amp;CRONO!X$12,CÁLCULO!$AB$15:$AL$165)/(ORÇAMENTO!$X$15-CÁLCULO.TotalAdmLocal)*CRONO!$E73,0),X72*$R71),SUMIF(OFFSET($R73,1,0,$Q71-2),($L71+1)&amp;"$",OFFSET(X73,1,0,$Q71-2)))</f>
        <v>0</v>
      </c>
      <c r="Y73" s="223">
        <f ca="1">IF($Q71=2,IF(AND(ACOMPANHAMENTO="PLE",ISNUMBER($E71)),SUMIF((OFFSET(CÁLCULO!$AM$15:$AW$15,$E71,0,OFFSET(ORÇAMENTO!$D$15,CRONO!$E71,0))),"="&amp;CRONO!Y$12,OFFSET(CÁLCULO!$AB$15:$AL$15,$E71,0,OFFSET(ORÇAMENTO!$D$15,CRONO!$E71,0)))+IF(AND($E73&lt;&gt;"",$E73&lt;&gt;0),SUMIF(CÁLCULO!$AM$15:$AW$165,"="&amp;CRONO!Y$12,CÁLCULO!$AB$15:$AL$165)/(ORÇAMENTO!$X$15-CÁLCULO.TotalAdmLocal)*CRONO!$E73,0),Y72*$R71),SUMIF(OFFSET($R73,1,0,$Q71-2),($L71+1)&amp;"$",OFFSET(Y73,1,0,$Q71-2)))</f>
        <v>0</v>
      </c>
      <c r="Z73" s="223">
        <f ca="1">IF($Q71=2,IF(AND(ACOMPANHAMENTO="PLE",ISNUMBER($E71)),SUMIF((OFFSET(CÁLCULO!$AM$15:$AW$15,$E71,0,OFFSET(ORÇAMENTO!$D$15,CRONO!$E71,0))),"="&amp;CRONO!Z$12,OFFSET(CÁLCULO!$AB$15:$AL$15,$E71,0,OFFSET(ORÇAMENTO!$D$15,CRONO!$E71,0)))+IF(AND($E73&lt;&gt;"",$E73&lt;&gt;0),SUMIF(CÁLCULO!$AM$15:$AW$165,"="&amp;CRONO!Z$12,CÁLCULO!$AB$15:$AL$165)/(ORÇAMENTO!$X$15-CÁLCULO.TotalAdmLocal)*CRONO!$E73,0),Z72*$R71),SUMIF(OFFSET($R73,1,0,$Q71-2),($L71+1)&amp;"$",OFFSET(Z73,1,0,$Q71-2)))</f>
        <v>0</v>
      </c>
      <c r="AA73" s="223">
        <f ca="1">IF($Q71=2,IF(AND(ACOMPANHAMENTO="PLE",ISNUMBER($E71)),SUMIF((OFFSET(CÁLCULO!$AM$15:$AW$15,$E71,0,OFFSET(ORÇAMENTO!$D$15,CRONO!$E71,0))),"="&amp;CRONO!AA$12,OFFSET(CÁLCULO!$AB$15:$AL$15,$E71,0,OFFSET(ORÇAMENTO!$D$15,CRONO!$E71,0)))+IF(AND($E73&lt;&gt;"",$E73&lt;&gt;0),SUMIF(CÁLCULO!$AM$15:$AW$165,"="&amp;CRONO!AA$12,CÁLCULO!$AB$15:$AL$165)/(ORÇAMENTO!$X$15-CÁLCULO.TotalAdmLocal)*CRONO!$E73,0),AA72*$R71),SUMIF(OFFSET($R73,1,0,$Q71-2),($L71+1)&amp;"$",OFFSET(AA73,1,0,$Q71-2)))</f>
        <v>0</v>
      </c>
      <c r="AB73" s="223">
        <f ca="1">IF($Q71=2,IF(AND(ACOMPANHAMENTO="PLE",ISNUMBER($E71)),SUMIF((OFFSET(CÁLCULO!$AM$15:$AW$15,$E71,0,OFFSET(ORÇAMENTO!$D$15,CRONO!$E71,0))),"="&amp;CRONO!AB$12,OFFSET(CÁLCULO!$AB$15:$AL$15,$E71,0,OFFSET(ORÇAMENTO!$D$15,CRONO!$E71,0)))+IF(AND($E73&lt;&gt;"",$E73&lt;&gt;0),SUMIF(CÁLCULO!$AM$15:$AW$165,"="&amp;CRONO!AB$12,CÁLCULO!$AB$15:$AL$165)/(ORÇAMENTO!$X$15-CÁLCULO.TotalAdmLocal)*CRONO!$E73,0),AB72*$R71),SUMIF(OFFSET($R73,1,0,$Q71-2),($L71+1)&amp;"$",OFFSET(AB73,1,0,$Q71-2)))</f>
        <v>0</v>
      </c>
      <c r="AC73" s="223">
        <f ca="1">IF($Q71=2,IF(AND(ACOMPANHAMENTO="PLE",ISNUMBER($E71)),SUMIF((OFFSET(CÁLCULO!$AM$15:$AW$15,$E71,0,OFFSET(ORÇAMENTO!$D$15,CRONO!$E71,0))),"="&amp;CRONO!AC$12,OFFSET(CÁLCULO!$AB$15:$AL$15,$E71,0,OFFSET(ORÇAMENTO!$D$15,CRONO!$E71,0)))+IF(AND($E73&lt;&gt;"",$E73&lt;&gt;0),SUMIF(CÁLCULO!$AM$15:$AW$165,"="&amp;CRONO!AC$12,CÁLCULO!$AB$15:$AL$165)/(ORÇAMENTO!$X$15-CÁLCULO.TotalAdmLocal)*CRONO!$E73,0),AC72*$R71),SUMIF(OFFSET($R73,1,0,$Q71-2),($L71+1)&amp;"$",OFFSET(AC73,1,0,$Q71-2)))</f>
        <v>0</v>
      </c>
      <c r="AD73" s="223">
        <f ca="1">IF($Q71=2,IF(AND(ACOMPANHAMENTO="PLE",ISNUMBER($E71)),SUMIF((OFFSET(CÁLCULO!$AM$15:$AW$15,$E71,0,OFFSET(ORÇAMENTO!$D$15,CRONO!$E71,0))),"="&amp;CRONO!AD$12,OFFSET(CÁLCULO!$AB$15:$AL$15,$E71,0,OFFSET(ORÇAMENTO!$D$15,CRONO!$E71,0)))+IF(AND($E73&lt;&gt;"",$E73&lt;&gt;0),SUMIF(CÁLCULO!$AM$15:$AW$165,"="&amp;CRONO!AD$12,CÁLCULO!$AB$15:$AL$165)/(ORÇAMENTO!$X$15-CÁLCULO.TotalAdmLocal)*CRONO!$E73,0),AD72*$R71),SUMIF(OFFSET($R73,1,0,$Q71-2),($L71+1)&amp;"$",OFFSET(AD73,1,0,$Q71-2)))</f>
        <v>0</v>
      </c>
      <c r="AE73" s="228">
        <f ca="1">IF($Q71=2,IF(AND(ACOMPANHAMENTO="PLE",ISNUMBER($E71)),SUMIF((OFFSET(CÁLCULO!$AM$15:$AW$15,$E71,0,OFFSET(ORÇAMENTO!$D$15,CRONO!$E71,0))),"="&amp;CRONO!AE$12,OFFSET(CÁLCULO!$AB$15:$AL$15,$E71,0,OFFSET(ORÇAMENTO!$D$15,CRONO!$E71,0)))+IF(AND($E73&lt;&gt;"",$E73&lt;&gt;0),SUMIF(CÁLCULO!$AM$15:$AW$165,"="&amp;CRONO!AE$12,CÁLCULO!$AB$15:$AL$165)/(ORÇAMENTO!$X$15-CÁLCULO.TotalAdmLocal)*CRONO!$E73,0),AE72*$R71),SUMIF(OFFSET($R73,1,0,$Q71-2),($L71+1)&amp;"$",OFFSET(AE73,1,0,$Q71-2)))</f>
        <v>0</v>
      </c>
    </row>
    <row r="74" spans="1:32" x14ac:dyDescent="0.2">
      <c r="A74" s="204">
        <f t="shared" ref="A74" ca="1" si="143">OFFSET(A74,-3,0)+1</f>
        <v>21</v>
      </c>
      <c r="B74" s="204">
        <f ca="1">IF($Q74&lt;&gt;2,0,IF($R74=0,1,IF(E75&gt;0,OFFSET(QCI!$M$13,SUBSTITUTE(E75,".",""),0),OFFSET(ORÇAMENTO!$AA$15,CRONO!$E74,0))/$R74))</f>
        <v>1.0000000000000002</v>
      </c>
      <c r="C74" s="204">
        <f ca="1">IF($Q74&lt;&gt;2,0,IF($R74=0,1,IF(E75&gt;0,OFFSET(QCI!$N$13,SUBSTITUTE(E75,".",""),0),OFFSET(ORÇAMENTO!$AB$15,CRONO!$E74,0))/$R74))</f>
        <v>0</v>
      </c>
      <c r="D74" s="207">
        <f ca="1">IF(AND($Q74=2,ACOMPANHAMENTO="BM"),D75,D76/$R74)</f>
        <v>0</v>
      </c>
      <c r="E74" s="204">
        <f ca="1">IF(A74&lt;=ORÇAMENTO.MáximoListaCrono,MATCH(A74,ORÇAMENTO.ListaCrono,0),NA())</f>
        <v>83</v>
      </c>
      <c r="F74" s="204" t="str">
        <f t="shared" ref="F74" ca="1" si="144">IF(AND($E75&lt;&gt;-1,$R74&gt;0),"F","")</f>
        <v>F</v>
      </c>
      <c r="G74" s="208">
        <f ca="1">IF(OR(R74=0,R74=""),"Linha",IF(AND(OR(ACOMPANHAMENTO="PLE",$Q74&lt;&gt;2),$E75=0),"Linha",1-SUM(T74:AF74)))</f>
        <v>0</v>
      </c>
      <c r="H74" s="209" t="str">
        <f ca="1">IF($E75=0,OFFSET(ORÇAMENTO!O$15,$E74,0),IF($E75&lt;&gt;-1,OFFSET(QCI!$D$13,$E75,0),""))</f>
        <v>6.3.</v>
      </c>
      <c r="I74" s="210" t="str">
        <f ca="1">IF($E75=0,OFFSET(ORÇAMENTO!R$15,$E74,0),IF($E75&lt;&gt;-1,OFFSET(QCI!$G$13,$E75,0),""))</f>
        <v xml:space="preserve">INSTALAÇÕES HIDROSSANITÁRIAS </v>
      </c>
      <c r="J74" s="210"/>
      <c r="K74" s="210"/>
      <c r="L74" s="211">
        <f ca="1">IF($E75=0,OFFSET(ORÇAMENTO!C$15,$E74,0),1)</f>
        <v>2</v>
      </c>
      <c r="M74" s="212">
        <f ca="1">IF($E75=-1,0,IF(M$13&lt;=$L74,IF(ISERROR(MATCH(M$13,OFFSET($L74,1,0,ROW($L$113)-ROW($L74)-1),0)),ROW($L$113)-ROW($L74)-1,MATCH(M$13,OFFSET($L74,1,0,ROW($L$113)-ROW($L74)-1),0)-1),0))</f>
        <v>2</v>
      </c>
      <c r="N74" s="212">
        <f ca="1">IF($E75=-1,0,IF(N$13&lt;=$L74,IF(ISERROR(MATCH(N$13,OFFSET($L74,1,0,ROW($L$113)-ROW($L74)-1),0)),ROW($L$113)-ROW($L74)-1,MATCH(N$13,OFFSET($L74,1,0,ROW($L$113)-ROW($L74)-1),0)-1),0))</f>
        <v>5</v>
      </c>
      <c r="O74" s="212">
        <f ca="1">IF($E75=-1,0,IF(O$13&lt;=$L74,IF(ISERROR(MATCH(O$13,OFFSET($L74,1,0,ROW($L$113)-ROW($L74)-1),0)),ROW($L$113)-ROW($L74)-1,MATCH(O$13,OFFSET($L74,1,0,ROW($L$113)-ROW($L74)-1),0)-1),0))</f>
        <v>0</v>
      </c>
      <c r="P74" s="212">
        <f ca="1">IF($E75=-1,0,IF(P$13&lt;=$L74,IF(ISERROR(MATCH(P$13,OFFSET($L74,1,0,ROW($L$113)-ROW($L74)-1),0)),ROW($L$113)-ROW($L74)-1,MATCH(P$13,OFFSET($L74,1,0,ROW($L$113)-ROW($L74)-1),0)-1),0))</f>
        <v>0</v>
      </c>
      <c r="Q74" s="212">
        <f t="shared" ref="Q74" ca="1" si="145">MIN(OFFSET(L74,0,1,,L74))</f>
        <v>2</v>
      </c>
      <c r="R74" s="213">
        <f ca="1">IF($E75=0,OFFSET(ORÇAMENTO!X$15,$E74,0),IF($E75&lt;&gt;-1,OFFSET(QCI!$O$13,$E75,0),""))</f>
        <v>16478.37</v>
      </c>
      <c r="S74" s="214" t="s">
        <v>270</v>
      </c>
      <c r="T74" s="215">
        <f t="shared" ref="T74:AE74" ca="1" si="146">IF(AND($Q74=2,ACOMPANHAMENTO="BM"),T75,T76/$R74)</f>
        <v>0</v>
      </c>
      <c r="U74" s="207">
        <f t="shared" ca="1" si="146"/>
        <v>0.8</v>
      </c>
      <c r="V74" s="207">
        <f t="shared" ca="1" si="146"/>
        <v>0.2</v>
      </c>
      <c r="W74" s="207">
        <f t="shared" ca="1" si="146"/>
        <v>0</v>
      </c>
      <c r="X74" s="207">
        <f t="shared" ca="1" si="146"/>
        <v>0</v>
      </c>
      <c r="Y74" s="207">
        <f t="shared" ca="1" si="146"/>
        <v>0</v>
      </c>
      <c r="Z74" s="207">
        <f t="shared" ca="1" si="146"/>
        <v>0</v>
      </c>
      <c r="AA74" s="207">
        <f t="shared" ca="1" si="146"/>
        <v>0</v>
      </c>
      <c r="AB74" s="207">
        <f t="shared" ca="1" si="146"/>
        <v>0</v>
      </c>
      <c r="AC74" s="207">
        <f t="shared" ca="1" si="146"/>
        <v>0</v>
      </c>
      <c r="AD74" s="207">
        <f t="shared" ca="1" si="146"/>
        <v>0</v>
      </c>
      <c r="AE74" s="216">
        <f t="shared" ca="1" si="146"/>
        <v>0</v>
      </c>
    </row>
    <row r="75" spans="1:32" ht="12.75" customHeight="1" x14ac:dyDescent="0.2">
      <c r="D75" s="569"/>
      <c r="E75" s="204">
        <f ca="1">IF(ISERROR(E74),IF(1+COUNTIF($L$13:OFFSET(L74,-1,0),1)&lt;=MAX(QCI!$D$13:$D$24),1+COUNTIF($L$13:OFFSET(L74,-1,0),1),-1),0)</f>
        <v>0</v>
      </c>
      <c r="F75" s="204" t="str">
        <f t="shared" ref="F75" ca="1" si="147">IF(AND($E75&lt;&gt;-1,$R74&gt;0),"F","")</f>
        <v>F</v>
      </c>
      <c r="G75" s="217" t="str">
        <f ca="1">IF(OR(R74=0,R74=""),"vazia",IF(AND(OR(ACOMPANHAMENTO="PLE",$Q74&lt;&gt;2),$E75=0),"calculada","--&gt;"))</f>
        <v>--&gt;</v>
      </c>
      <c r="H75" s="218"/>
      <c r="I75" s="219" t="str">
        <f t="shared" ref="I75" ca="1" si="148">IF(AND(G74&lt;&gt;0,ISNUMBER(G74)),"PREENCHA ESTA LINHA --&gt;","")</f>
        <v/>
      </c>
      <c r="J75" s="219"/>
      <c r="K75" s="219"/>
      <c r="L75" s="220"/>
      <c r="M75" s="220"/>
      <c r="N75" s="220"/>
      <c r="O75" s="220"/>
      <c r="P75" s="220"/>
      <c r="Q75" s="220"/>
      <c r="R75" s="221"/>
      <c r="S75" s="222"/>
      <c r="T75" s="570"/>
      <c r="U75" s="569">
        <v>0.8</v>
      </c>
      <c r="V75" s="569">
        <v>0.2</v>
      </c>
      <c r="W75" s="569"/>
      <c r="X75" s="569"/>
      <c r="Y75" s="569"/>
      <c r="Z75" s="569"/>
      <c r="AA75" s="569"/>
      <c r="AB75" s="569"/>
      <c r="AC75" s="569"/>
      <c r="AD75" s="569"/>
      <c r="AE75" s="571"/>
      <c r="AF75" s="533"/>
    </row>
    <row r="76" spans="1:32" ht="0.2" hidden="1" customHeight="1" x14ac:dyDescent="0.2">
      <c r="D76" s="223">
        <f ca="1">IF($Q74=2,IF(AND(ACOMPANHAMENTO="PLE",ISNUMBER($E74)),SUMIF((OFFSET(CÁLCULO!$AM$15:$AW$15,$E74,0,OFFSET(ORÇAMENTO!$D$15,CRONO!$E74,0))),"="&amp;CRONO!D$12,OFFSET(CÁLCULO!$AB$15:$AL$15,$E74,0,OFFSET(ORÇAMENTO!$D$15,CRONO!$E74,0)))+IF(AND($E76&lt;&gt;"",$E76&lt;&gt;0),SUMIF(CÁLCULO!$AM$15:$AW$165,"="&amp;CRONO!D$12,CÁLCULO!$AB$15:$AL$165)/(ORÇAMENTO!$X$15-CÁLCULO.TotalAdmLocal)*CRONO!$E76,0),D75*$R74),SUMIF(OFFSET($R76,1,0,$Q74-2),($L74+1)&amp;"$",OFFSET(D76,1,0,$Q74-2)))</f>
        <v>0</v>
      </c>
      <c r="E76" s="204" t="str">
        <f ca="1">IF(OR($Q74&lt;&gt;2,AUTOEVENTO&lt;&gt;"manual",$E75&gt;0),"",SUMIF(OFFSET(CÁLCULO!$M$15,CRONO!$E74,0,OFFSET(ORÇAMENTO!$D$15,CRONO!$E74,0)),1,OFFSET(ORÇAMENTO!$X$15,CRONO!$E74,0,OFFSET(ORÇAMENTO!$D$15,CRONO!$E74,0))))</f>
        <v/>
      </c>
      <c r="G76" s="224"/>
      <c r="R76" s="225" t="str">
        <f t="shared" ref="R76" ca="1" si="149">L74&amp;"$"</f>
        <v>2$</v>
      </c>
      <c r="S76" s="226"/>
      <c r="T76" s="227">
        <f ca="1">IF($Q74=2,IF(AND(ACOMPANHAMENTO="PLE",ISNUMBER($E74)),SUMIF((OFFSET(CÁLCULO!$AM$15:$AW$15,$E74,0,OFFSET(ORÇAMENTO!$D$15,CRONO!$E74,0))),"&lt;="&amp;CRONO!T$12,OFFSET(CÁLCULO!$AB$15:$AL$15,$E74,0,OFFSET(ORÇAMENTO!$D$15,CRONO!$E74,0)))+IF(AND($E76&lt;&gt;"",$E76&lt;&gt;0),SUMIF(CÁLCULO!$AM$15:$AW$165,"&lt;="&amp;CRONO!T$12,CÁLCULO!$AB$15:$AL$165)/(ORÇAMENTO!$X$15-CÁLCULO.TotalAdmLocal)*CRONO!$E76,0),T75*$R74),SUMIF(OFFSET($R76,1,0,$Q74-2),($L74+1)&amp;"$",OFFSET(T76,1,0,$Q74-2)))</f>
        <v>0</v>
      </c>
      <c r="U76" s="223">
        <f ca="1">IF($Q74=2,IF(AND(ACOMPANHAMENTO="PLE",ISNUMBER($E74)),SUMIF((OFFSET(CÁLCULO!$AM$15:$AW$15,$E74,0,OFFSET(ORÇAMENTO!$D$15,CRONO!$E74,0))),"="&amp;CRONO!U$12,OFFSET(CÁLCULO!$AB$15:$AL$15,$E74,0,OFFSET(ORÇAMENTO!$D$15,CRONO!$E74,0)))+IF(AND($E76&lt;&gt;"",$E76&lt;&gt;0),SUMIF(CÁLCULO!$AM$15:$AW$165,"="&amp;CRONO!U$12,CÁLCULO!$AB$15:$AL$165)/(ORÇAMENTO!$X$15-CÁLCULO.TotalAdmLocal)*CRONO!$E76,0),U75*$R74),SUMIF(OFFSET($R76,1,0,$Q74-2),($L74+1)&amp;"$",OFFSET(U76,1,0,$Q74-2)))</f>
        <v>13182.696</v>
      </c>
      <c r="V76" s="223">
        <f ca="1">IF($Q74=2,IF(AND(ACOMPANHAMENTO="PLE",ISNUMBER($E74)),SUMIF((OFFSET(CÁLCULO!$AM$15:$AW$15,$E74,0,OFFSET(ORÇAMENTO!$D$15,CRONO!$E74,0))),"="&amp;CRONO!V$12,OFFSET(CÁLCULO!$AB$15:$AL$15,$E74,0,OFFSET(ORÇAMENTO!$D$15,CRONO!$E74,0)))+IF(AND($E76&lt;&gt;"",$E76&lt;&gt;0),SUMIF(CÁLCULO!$AM$15:$AW$165,"="&amp;CRONO!V$12,CÁLCULO!$AB$15:$AL$165)/(ORÇAMENTO!$X$15-CÁLCULO.TotalAdmLocal)*CRONO!$E76,0),V75*$R74),SUMIF(OFFSET($R76,1,0,$Q74-2),($L74+1)&amp;"$",OFFSET(V76,1,0,$Q74-2)))</f>
        <v>3295.674</v>
      </c>
      <c r="W76" s="223">
        <f ca="1">IF($Q74=2,IF(AND(ACOMPANHAMENTO="PLE",ISNUMBER($E74)),SUMIF((OFFSET(CÁLCULO!$AM$15:$AW$15,$E74,0,OFFSET(ORÇAMENTO!$D$15,CRONO!$E74,0))),"="&amp;CRONO!W$12,OFFSET(CÁLCULO!$AB$15:$AL$15,$E74,0,OFFSET(ORÇAMENTO!$D$15,CRONO!$E74,0)))+IF(AND($E76&lt;&gt;"",$E76&lt;&gt;0),SUMIF(CÁLCULO!$AM$15:$AW$165,"="&amp;CRONO!W$12,CÁLCULO!$AB$15:$AL$165)/(ORÇAMENTO!$X$15-CÁLCULO.TotalAdmLocal)*CRONO!$E76,0),W75*$R74),SUMIF(OFFSET($R76,1,0,$Q74-2),($L74+1)&amp;"$",OFFSET(W76,1,0,$Q74-2)))</f>
        <v>0</v>
      </c>
      <c r="X76" s="223">
        <f ca="1">IF($Q74=2,IF(AND(ACOMPANHAMENTO="PLE",ISNUMBER($E74)),SUMIF((OFFSET(CÁLCULO!$AM$15:$AW$15,$E74,0,OFFSET(ORÇAMENTO!$D$15,CRONO!$E74,0))),"="&amp;CRONO!X$12,OFFSET(CÁLCULO!$AB$15:$AL$15,$E74,0,OFFSET(ORÇAMENTO!$D$15,CRONO!$E74,0)))+IF(AND($E76&lt;&gt;"",$E76&lt;&gt;0),SUMIF(CÁLCULO!$AM$15:$AW$165,"="&amp;CRONO!X$12,CÁLCULO!$AB$15:$AL$165)/(ORÇAMENTO!$X$15-CÁLCULO.TotalAdmLocal)*CRONO!$E76,0),X75*$R74),SUMIF(OFFSET($R76,1,0,$Q74-2),($L74+1)&amp;"$",OFFSET(X76,1,0,$Q74-2)))</f>
        <v>0</v>
      </c>
      <c r="Y76" s="223">
        <f ca="1">IF($Q74=2,IF(AND(ACOMPANHAMENTO="PLE",ISNUMBER($E74)),SUMIF((OFFSET(CÁLCULO!$AM$15:$AW$15,$E74,0,OFFSET(ORÇAMENTO!$D$15,CRONO!$E74,0))),"="&amp;CRONO!Y$12,OFFSET(CÁLCULO!$AB$15:$AL$15,$E74,0,OFFSET(ORÇAMENTO!$D$15,CRONO!$E74,0)))+IF(AND($E76&lt;&gt;"",$E76&lt;&gt;0),SUMIF(CÁLCULO!$AM$15:$AW$165,"="&amp;CRONO!Y$12,CÁLCULO!$AB$15:$AL$165)/(ORÇAMENTO!$X$15-CÁLCULO.TotalAdmLocal)*CRONO!$E76,0),Y75*$R74),SUMIF(OFFSET($R76,1,0,$Q74-2),($L74+1)&amp;"$",OFFSET(Y76,1,0,$Q74-2)))</f>
        <v>0</v>
      </c>
      <c r="Z76" s="223">
        <f ca="1">IF($Q74=2,IF(AND(ACOMPANHAMENTO="PLE",ISNUMBER($E74)),SUMIF((OFFSET(CÁLCULO!$AM$15:$AW$15,$E74,0,OFFSET(ORÇAMENTO!$D$15,CRONO!$E74,0))),"="&amp;CRONO!Z$12,OFFSET(CÁLCULO!$AB$15:$AL$15,$E74,0,OFFSET(ORÇAMENTO!$D$15,CRONO!$E74,0)))+IF(AND($E76&lt;&gt;"",$E76&lt;&gt;0),SUMIF(CÁLCULO!$AM$15:$AW$165,"="&amp;CRONO!Z$12,CÁLCULO!$AB$15:$AL$165)/(ORÇAMENTO!$X$15-CÁLCULO.TotalAdmLocal)*CRONO!$E76,0),Z75*$R74),SUMIF(OFFSET($R76,1,0,$Q74-2),($L74+1)&amp;"$",OFFSET(Z76,1,0,$Q74-2)))</f>
        <v>0</v>
      </c>
      <c r="AA76" s="223">
        <f ca="1">IF($Q74=2,IF(AND(ACOMPANHAMENTO="PLE",ISNUMBER($E74)),SUMIF((OFFSET(CÁLCULO!$AM$15:$AW$15,$E74,0,OFFSET(ORÇAMENTO!$D$15,CRONO!$E74,0))),"="&amp;CRONO!AA$12,OFFSET(CÁLCULO!$AB$15:$AL$15,$E74,0,OFFSET(ORÇAMENTO!$D$15,CRONO!$E74,0)))+IF(AND($E76&lt;&gt;"",$E76&lt;&gt;0),SUMIF(CÁLCULO!$AM$15:$AW$165,"="&amp;CRONO!AA$12,CÁLCULO!$AB$15:$AL$165)/(ORÇAMENTO!$X$15-CÁLCULO.TotalAdmLocal)*CRONO!$E76,0),AA75*$R74),SUMIF(OFFSET($R76,1,0,$Q74-2),($L74+1)&amp;"$",OFFSET(AA76,1,0,$Q74-2)))</f>
        <v>0</v>
      </c>
      <c r="AB76" s="223">
        <f ca="1">IF($Q74=2,IF(AND(ACOMPANHAMENTO="PLE",ISNUMBER($E74)),SUMIF((OFFSET(CÁLCULO!$AM$15:$AW$15,$E74,0,OFFSET(ORÇAMENTO!$D$15,CRONO!$E74,0))),"="&amp;CRONO!AB$12,OFFSET(CÁLCULO!$AB$15:$AL$15,$E74,0,OFFSET(ORÇAMENTO!$D$15,CRONO!$E74,0)))+IF(AND($E76&lt;&gt;"",$E76&lt;&gt;0),SUMIF(CÁLCULO!$AM$15:$AW$165,"="&amp;CRONO!AB$12,CÁLCULO!$AB$15:$AL$165)/(ORÇAMENTO!$X$15-CÁLCULO.TotalAdmLocal)*CRONO!$E76,0),AB75*$R74),SUMIF(OFFSET($R76,1,0,$Q74-2),($L74+1)&amp;"$",OFFSET(AB76,1,0,$Q74-2)))</f>
        <v>0</v>
      </c>
      <c r="AC76" s="223">
        <f ca="1">IF($Q74=2,IF(AND(ACOMPANHAMENTO="PLE",ISNUMBER($E74)),SUMIF((OFFSET(CÁLCULO!$AM$15:$AW$15,$E74,0,OFFSET(ORÇAMENTO!$D$15,CRONO!$E74,0))),"="&amp;CRONO!AC$12,OFFSET(CÁLCULO!$AB$15:$AL$15,$E74,0,OFFSET(ORÇAMENTO!$D$15,CRONO!$E74,0)))+IF(AND($E76&lt;&gt;"",$E76&lt;&gt;0),SUMIF(CÁLCULO!$AM$15:$AW$165,"="&amp;CRONO!AC$12,CÁLCULO!$AB$15:$AL$165)/(ORÇAMENTO!$X$15-CÁLCULO.TotalAdmLocal)*CRONO!$E76,0),AC75*$R74),SUMIF(OFFSET($R76,1,0,$Q74-2),($L74+1)&amp;"$",OFFSET(AC76,1,0,$Q74-2)))</f>
        <v>0</v>
      </c>
      <c r="AD76" s="223">
        <f ca="1">IF($Q74=2,IF(AND(ACOMPANHAMENTO="PLE",ISNUMBER($E74)),SUMIF((OFFSET(CÁLCULO!$AM$15:$AW$15,$E74,0,OFFSET(ORÇAMENTO!$D$15,CRONO!$E74,0))),"="&amp;CRONO!AD$12,OFFSET(CÁLCULO!$AB$15:$AL$15,$E74,0,OFFSET(ORÇAMENTO!$D$15,CRONO!$E74,0)))+IF(AND($E76&lt;&gt;"",$E76&lt;&gt;0),SUMIF(CÁLCULO!$AM$15:$AW$165,"="&amp;CRONO!AD$12,CÁLCULO!$AB$15:$AL$165)/(ORÇAMENTO!$X$15-CÁLCULO.TotalAdmLocal)*CRONO!$E76,0),AD75*$R74),SUMIF(OFFSET($R76,1,0,$Q74-2),($L74+1)&amp;"$",OFFSET(AD76,1,0,$Q74-2)))</f>
        <v>0</v>
      </c>
      <c r="AE76" s="228">
        <f ca="1">IF($Q74=2,IF(AND(ACOMPANHAMENTO="PLE",ISNUMBER($E74)),SUMIF((OFFSET(CÁLCULO!$AM$15:$AW$15,$E74,0,OFFSET(ORÇAMENTO!$D$15,CRONO!$E74,0))),"="&amp;CRONO!AE$12,OFFSET(CÁLCULO!$AB$15:$AL$15,$E74,0,OFFSET(ORÇAMENTO!$D$15,CRONO!$E74,0)))+IF(AND($E76&lt;&gt;"",$E76&lt;&gt;0),SUMIF(CÁLCULO!$AM$15:$AW$165,"="&amp;CRONO!AE$12,CÁLCULO!$AB$15:$AL$165)/(ORÇAMENTO!$X$15-CÁLCULO.TotalAdmLocal)*CRONO!$E76,0),AE75*$R74),SUMIF(OFFSET($R76,1,0,$Q74-2),($L74+1)&amp;"$",OFFSET(AE76,1,0,$Q74-2)))</f>
        <v>0</v>
      </c>
    </row>
    <row r="77" spans="1:32" x14ac:dyDescent="0.2">
      <c r="A77" s="204">
        <f t="shared" ref="A77" ca="1" si="150">OFFSET(A77,-3,0)+1</f>
        <v>22</v>
      </c>
      <c r="B77" s="204">
        <f ca="1">IF($Q77&lt;&gt;2,0,IF($R77=0,1,IF(E78&gt;0,OFFSET(QCI!$M$13,SUBSTITUTE(E78,".",""),0),OFFSET(ORÇAMENTO!$AA$15,CRONO!$E77,0))/$R77))</f>
        <v>0</v>
      </c>
      <c r="C77" s="204">
        <f ca="1">IF($Q77&lt;&gt;2,0,IF($R77=0,1,IF(E78&gt;0,OFFSET(QCI!$N$13,SUBSTITUTE(E78,".",""),0),OFFSET(ORÇAMENTO!$AB$15,CRONO!$E77,0))/$R77))</f>
        <v>0</v>
      </c>
      <c r="D77" s="207">
        <f ca="1">IF(AND($Q77=2,ACOMPANHAMENTO="BM"),D78,D79/$R77)</f>
        <v>0</v>
      </c>
      <c r="E77" s="204">
        <f ca="1">IF(A77&lt;=ORÇAMENTO.MáximoListaCrono,MATCH(A77,ORÇAMENTO.ListaCrono,0),NA())</f>
        <v>101</v>
      </c>
      <c r="F77" s="204" t="str">
        <f t="shared" ref="F77" ca="1" si="151">IF(AND($E78&lt;&gt;-1,$R77&gt;0),"F","")</f>
        <v>F</v>
      </c>
      <c r="G77" s="208" t="str">
        <f ca="1">IF(OR(R77=0,R77=""),"Linha",IF(AND(OR(ACOMPANHAMENTO="PLE",$Q77&lt;&gt;2),$E78=0),"Linha",1-SUM(T77:AF77)))</f>
        <v>Linha</v>
      </c>
      <c r="H77" s="209" t="str">
        <f ca="1">IF($E78=0,OFFSET(ORÇAMENTO!O$15,$E77,0),IF($E78&lt;&gt;-1,OFFSET(QCI!$D$13,$E78,0),""))</f>
        <v>7.</v>
      </c>
      <c r="I77" s="210" t="str">
        <f ca="1">IF($E78=0,OFFSET(ORÇAMENTO!R$15,$E77,0),IF($E78&lt;&gt;-1,OFFSET(QCI!$G$13,$E78,0),""))</f>
        <v xml:space="preserve">PAVIMENTAÇÃO </v>
      </c>
      <c r="J77" s="210"/>
      <c r="K77" s="210"/>
      <c r="L77" s="211">
        <f ca="1">IF($E78=0,OFFSET(ORÇAMENTO!C$15,$E77,0),1)</f>
        <v>1</v>
      </c>
      <c r="M77" s="212">
        <f ca="1">IF($E78=-1,0,IF(M$13&lt;=$L77,IF(ISERROR(MATCH(M$13,OFFSET($L77,1,0,ROW($L$113)-ROW($L77)-1),0)),ROW($L$113)-ROW($L77)-1,MATCH(M$13,OFFSET($L77,1,0,ROW($L$113)-ROW($L77)-1),0)-1),0))</f>
        <v>5</v>
      </c>
      <c r="N77" s="212">
        <f ca="1">IF($E78=-1,0,IF(N$13&lt;=$L77,IF(ISERROR(MATCH(N$13,OFFSET($L77,1,0,ROW($L$113)-ROW($L77)-1),0)),ROW($L$113)-ROW($L77)-1,MATCH(N$13,OFFSET($L77,1,0,ROW($L$113)-ROW($L77)-1),0)-1),0))</f>
        <v>0</v>
      </c>
      <c r="O77" s="212">
        <f ca="1">IF($E78=-1,0,IF(O$13&lt;=$L77,IF(ISERROR(MATCH(O$13,OFFSET($L77,1,0,ROW($L$113)-ROW($L77)-1),0)),ROW($L$113)-ROW($L77)-1,MATCH(O$13,OFFSET($L77,1,0,ROW($L$113)-ROW($L77)-1),0)-1),0))</f>
        <v>0</v>
      </c>
      <c r="P77" s="212">
        <f ca="1">IF($E78=-1,0,IF(P$13&lt;=$L77,IF(ISERROR(MATCH(P$13,OFFSET($L77,1,0,ROW($L$113)-ROW($L77)-1),0)),ROW($L$113)-ROW($L77)-1,MATCH(P$13,OFFSET($L77,1,0,ROW($L$113)-ROW($L77)-1),0)-1),0))</f>
        <v>0</v>
      </c>
      <c r="Q77" s="212">
        <f t="shared" ref="Q77" ca="1" si="152">MIN(OFFSET(L77,0,1,,L77))</f>
        <v>5</v>
      </c>
      <c r="R77" s="213">
        <f ca="1">IF($E78=0,OFFSET(ORÇAMENTO!X$15,$E77,0),IF($E78&lt;&gt;-1,OFFSET(QCI!$O$13,$E78,0),""))</f>
        <v>37813.360000000001</v>
      </c>
      <c r="S77" s="214" t="s">
        <v>270</v>
      </c>
      <c r="T77" s="215">
        <f t="shared" ref="T77:AE77" ca="1" si="153">IF(AND($Q77=2,ACOMPANHAMENTO="BM"),T78,T79/$R77)</f>
        <v>0.05</v>
      </c>
      <c r="U77" s="207">
        <f t="shared" ca="1" si="153"/>
        <v>0.94999999999999984</v>
      </c>
      <c r="V77" s="207">
        <f t="shared" ca="1" si="153"/>
        <v>0</v>
      </c>
      <c r="W77" s="207">
        <f t="shared" ca="1" si="153"/>
        <v>0</v>
      </c>
      <c r="X77" s="207">
        <f t="shared" ca="1" si="153"/>
        <v>0</v>
      </c>
      <c r="Y77" s="207">
        <f t="shared" ca="1" si="153"/>
        <v>0</v>
      </c>
      <c r="Z77" s="207">
        <f t="shared" ca="1" si="153"/>
        <v>0</v>
      </c>
      <c r="AA77" s="207">
        <f t="shared" ca="1" si="153"/>
        <v>0</v>
      </c>
      <c r="AB77" s="207">
        <f t="shared" ca="1" si="153"/>
        <v>0</v>
      </c>
      <c r="AC77" s="207">
        <f t="shared" ca="1" si="153"/>
        <v>0</v>
      </c>
      <c r="AD77" s="207">
        <f t="shared" ca="1" si="153"/>
        <v>0</v>
      </c>
      <c r="AE77" s="216">
        <f t="shared" ca="1" si="153"/>
        <v>0</v>
      </c>
    </row>
    <row r="78" spans="1:32" ht="12.75" customHeight="1" x14ac:dyDescent="0.2">
      <c r="D78" s="569"/>
      <c r="E78" s="204">
        <f ca="1">IF(ISERROR(E77),IF(1+COUNTIF($L$13:OFFSET(L77,-1,0),1)&lt;=MAX(QCI!$D$13:$D$24),1+COUNTIF($L$13:OFFSET(L77,-1,0),1),-1),0)</f>
        <v>0</v>
      </c>
      <c r="F78" s="204" t="str">
        <f t="shared" ref="F78" ca="1" si="154">IF(AND($E78&lt;&gt;-1,$R77&gt;0),"F","")</f>
        <v>F</v>
      </c>
      <c r="G78" s="217" t="str">
        <f ca="1">IF(OR(R77=0,R77=""),"vazia",IF(AND(OR(ACOMPANHAMENTO="PLE",$Q77&lt;&gt;2),$E78=0),"calculada","--&gt;"))</f>
        <v>calculada</v>
      </c>
      <c r="H78" s="218"/>
      <c r="I78" s="219" t="str">
        <f t="shared" ref="I78" ca="1" si="155">IF(AND(G77&lt;&gt;0,ISNUMBER(G77)),"PREENCHA ESTA LINHA --&gt;","")</f>
        <v/>
      </c>
      <c r="J78" s="219"/>
      <c r="K78" s="219"/>
      <c r="L78" s="220"/>
      <c r="M78" s="220"/>
      <c r="N78" s="220"/>
      <c r="O78" s="220"/>
      <c r="P78" s="220"/>
      <c r="Q78" s="220"/>
      <c r="R78" s="221"/>
      <c r="S78" s="222"/>
      <c r="T78" s="570"/>
      <c r="U78" s="569">
        <v>1</v>
      </c>
      <c r="V78" s="569"/>
      <c r="W78" s="569"/>
      <c r="X78" s="569"/>
      <c r="Y78" s="569"/>
      <c r="Z78" s="569"/>
      <c r="AA78" s="569"/>
      <c r="AB78" s="569"/>
      <c r="AC78" s="569"/>
      <c r="AD78" s="569"/>
      <c r="AE78" s="571"/>
      <c r="AF78" s="533"/>
    </row>
    <row r="79" spans="1:32" ht="0.2" hidden="1" customHeight="1" x14ac:dyDescent="0.2">
      <c r="D79" s="223">
        <f ca="1">IF($Q77=2,IF(AND(ACOMPANHAMENTO="PLE",ISNUMBER($E77)),SUMIF((OFFSET(CÁLCULO!$AM$15:$AW$15,$E77,0,OFFSET(ORÇAMENTO!$D$15,CRONO!$E77,0))),"="&amp;CRONO!D$12,OFFSET(CÁLCULO!$AB$15:$AL$15,$E77,0,OFFSET(ORÇAMENTO!$D$15,CRONO!$E77,0)))+IF(AND($E79&lt;&gt;"",$E79&lt;&gt;0),SUMIF(CÁLCULO!$AM$15:$AW$165,"="&amp;CRONO!D$12,CÁLCULO!$AB$15:$AL$165)/(ORÇAMENTO!$X$15-CÁLCULO.TotalAdmLocal)*CRONO!$E79,0),D78*$R77),SUMIF(OFFSET($R79,1,0,$Q77-2),($L77+1)&amp;"$",OFFSET(D79,1,0,$Q77-2)))</f>
        <v>0</v>
      </c>
      <c r="E79" s="204" t="str">
        <f ca="1">IF(OR($Q77&lt;&gt;2,AUTOEVENTO&lt;&gt;"manual",$E78&gt;0),"",SUMIF(OFFSET(CÁLCULO!$M$15,CRONO!$E77,0,OFFSET(ORÇAMENTO!$D$15,CRONO!$E77,0)),1,OFFSET(ORÇAMENTO!$X$15,CRONO!$E77,0,OFFSET(ORÇAMENTO!$D$15,CRONO!$E77,0))))</f>
        <v/>
      </c>
      <c r="G79" s="224"/>
      <c r="R79" s="225" t="str">
        <f t="shared" ref="R79" ca="1" si="156">L77&amp;"$"</f>
        <v>1$</v>
      </c>
      <c r="S79" s="226"/>
      <c r="T79" s="227">
        <f ca="1">IF($Q77=2,IF(AND(ACOMPANHAMENTO="PLE",ISNUMBER($E77)),SUMIF((OFFSET(CÁLCULO!$AM$15:$AW$15,$E77,0,OFFSET(ORÇAMENTO!$D$15,CRONO!$E77,0))),"&lt;="&amp;CRONO!T$12,OFFSET(CÁLCULO!$AB$15:$AL$15,$E77,0,OFFSET(ORÇAMENTO!$D$15,CRONO!$E77,0)))+IF(AND($E79&lt;&gt;"",$E79&lt;&gt;0),SUMIF(CÁLCULO!$AM$15:$AW$165,"&lt;="&amp;CRONO!T$12,CÁLCULO!$AB$15:$AL$165)/(ORÇAMENTO!$X$15-CÁLCULO.TotalAdmLocal)*CRONO!$E79,0),T78*$R77),SUMIF(OFFSET($R79,1,0,$Q77-2),($L77+1)&amp;"$",OFFSET(T79,1,0,$Q77-2)))</f>
        <v>1890.6680000000001</v>
      </c>
      <c r="U79" s="223">
        <f ca="1">IF($Q77=2,IF(AND(ACOMPANHAMENTO="PLE",ISNUMBER($E77)),SUMIF((OFFSET(CÁLCULO!$AM$15:$AW$15,$E77,0,OFFSET(ORÇAMENTO!$D$15,CRONO!$E77,0))),"="&amp;CRONO!U$12,OFFSET(CÁLCULO!$AB$15:$AL$15,$E77,0,OFFSET(ORÇAMENTO!$D$15,CRONO!$E77,0)))+IF(AND($E79&lt;&gt;"",$E79&lt;&gt;0),SUMIF(CÁLCULO!$AM$15:$AW$165,"="&amp;CRONO!U$12,CÁLCULO!$AB$15:$AL$165)/(ORÇAMENTO!$X$15-CÁLCULO.TotalAdmLocal)*CRONO!$E79,0),U78*$R77),SUMIF(OFFSET($R79,1,0,$Q77-2),($L77+1)&amp;"$",OFFSET(U79,1,0,$Q77-2)))</f>
        <v>35922.691999999995</v>
      </c>
      <c r="V79" s="223">
        <f ca="1">IF($Q77=2,IF(AND(ACOMPANHAMENTO="PLE",ISNUMBER($E77)),SUMIF((OFFSET(CÁLCULO!$AM$15:$AW$15,$E77,0,OFFSET(ORÇAMENTO!$D$15,CRONO!$E77,0))),"="&amp;CRONO!V$12,OFFSET(CÁLCULO!$AB$15:$AL$15,$E77,0,OFFSET(ORÇAMENTO!$D$15,CRONO!$E77,0)))+IF(AND($E79&lt;&gt;"",$E79&lt;&gt;0),SUMIF(CÁLCULO!$AM$15:$AW$165,"="&amp;CRONO!V$12,CÁLCULO!$AB$15:$AL$165)/(ORÇAMENTO!$X$15-CÁLCULO.TotalAdmLocal)*CRONO!$E79,0),V78*$R77),SUMIF(OFFSET($R79,1,0,$Q77-2),($L77+1)&amp;"$",OFFSET(V79,1,0,$Q77-2)))</f>
        <v>0</v>
      </c>
      <c r="W79" s="223">
        <f ca="1">IF($Q77=2,IF(AND(ACOMPANHAMENTO="PLE",ISNUMBER($E77)),SUMIF((OFFSET(CÁLCULO!$AM$15:$AW$15,$E77,0,OFFSET(ORÇAMENTO!$D$15,CRONO!$E77,0))),"="&amp;CRONO!W$12,OFFSET(CÁLCULO!$AB$15:$AL$15,$E77,0,OFFSET(ORÇAMENTO!$D$15,CRONO!$E77,0)))+IF(AND($E79&lt;&gt;"",$E79&lt;&gt;0),SUMIF(CÁLCULO!$AM$15:$AW$165,"="&amp;CRONO!W$12,CÁLCULO!$AB$15:$AL$165)/(ORÇAMENTO!$X$15-CÁLCULO.TotalAdmLocal)*CRONO!$E79,0),W78*$R77),SUMIF(OFFSET($R79,1,0,$Q77-2),($L77+1)&amp;"$",OFFSET(W79,1,0,$Q77-2)))</f>
        <v>0</v>
      </c>
      <c r="X79" s="223">
        <f ca="1">IF($Q77=2,IF(AND(ACOMPANHAMENTO="PLE",ISNUMBER($E77)),SUMIF((OFFSET(CÁLCULO!$AM$15:$AW$15,$E77,0,OFFSET(ORÇAMENTO!$D$15,CRONO!$E77,0))),"="&amp;CRONO!X$12,OFFSET(CÁLCULO!$AB$15:$AL$15,$E77,0,OFFSET(ORÇAMENTO!$D$15,CRONO!$E77,0)))+IF(AND($E79&lt;&gt;"",$E79&lt;&gt;0),SUMIF(CÁLCULO!$AM$15:$AW$165,"="&amp;CRONO!X$12,CÁLCULO!$AB$15:$AL$165)/(ORÇAMENTO!$X$15-CÁLCULO.TotalAdmLocal)*CRONO!$E79,0),X78*$R77),SUMIF(OFFSET($R79,1,0,$Q77-2),($L77+1)&amp;"$",OFFSET(X79,1,0,$Q77-2)))</f>
        <v>0</v>
      </c>
      <c r="Y79" s="223">
        <f ca="1">IF($Q77=2,IF(AND(ACOMPANHAMENTO="PLE",ISNUMBER($E77)),SUMIF((OFFSET(CÁLCULO!$AM$15:$AW$15,$E77,0,OFFSET(ORÇAMENTO!$D$15,CRONO!$E77,0))),"="&amp;CRONO!Y$12,OFFSET(CÁLCULO!$AB$15:$AL$15,$E77,0,OFFSET(ORÇAMENTO!$D$15,CRONO!$E77,0)))+IF(AND($E79&lt;&gt;"",$E79&lt;&gt;0),SUMIF(CÁLCULO!$AM$15:$AW$165,"="&amp;CRONO!Y$12,CÁLCULO!$AB$15:$AL$165)/(ORÇAMENTO!$X$15-CÁLCULO.TotalAdmLocal)*CRONO!$E79,0),Y78*$R77),SUMIF(OFFSET($R79,1,0,$Q77-2),($L77+1)&amp;"$",OFFSET(Y79,1,0,$Q77-2)))</f>
        <v>0</v>
      </c>
      <c r="Z79" s="223">
        <f ca="1">IF($Q77=2,IF(AND(ACOMPANHAMENTO="PLE",ISNUMBER($E77)),SUMIF((OFFSET(CÁLCULO!$AM$15:$AW$15,$E77,0,OFFSET(ORÇAMENTO!$D$15,CRONO!$E77,0))),"="&amp;CRONO!Z$12,OFFSET(CÁLCULO!$AB$15:$AL$15,$E77,0,OFFSET(ORÇAMENTO!$D$15,CRONO!$E77,0)))+IF(AND($E79&lt;&gt;"",$E79&lt;&gt;0),SUMIF(CÁLCULO!$AM$15:$AW$165,"="&amp;CRONO!Z$12,CÁLCULO!$AB$15:$AL$165)/(ORÇAMENTO!$X$15-CÁLCULO.TotalAdmLocal)*CRONO!$E79,0),Z78*$R77),SUMIF(OFFSET($R79,1,0,$Q77-2),($L77+1)&amp;"$",OFFSET(Z79,1,0,$Q77-2)))</f>
        <v>0</v>
      </c>
      <c r="AA79" s="223">
        <f ca="1">IF($Q77=2,IF(AND(ACOMPANHAMENTO="PLE",ISNUMBER($E77)),SUMIF((OFFSET(CÁLCULO!$AM$15:$AW$15,$E77,0,OFFSET(ORÇAMENTO!$D$15,CRONO!$E77,0))),"="&amp;CRONO!AA$12,OFFSET(CÁLCULO!$AB$15:$AL$15,$E77,0,OFFSET(ORÇAMENTO!$D$15,CRONO!$E77,0)))+IF(AND($E79&lt;&gt;"",$E79&lt;&gt;0),SUMIF(CÁLCULO!$AM$15:$AW$165,"="&amp;CRONO!AA$12,CÁLCULO!$AB$15:$AL$165)/(ORÇAMENTO!$X$15-CÁLCULO.TotalAdmLocal)*CRONO!$E79,0),AA78*$R77),SUMIF(OFFSET($R79,1,0,$Q77-2),($L77+1)&amp;"$",OFFSET(AA79,1,0,$Q77-2)))</f>
        <v>0</v>
      </c>
      <c r="AB79" s="223">
        <f ca="1">IF($Q77=2,IF(AND(ACOMPANHAMENTO="PLE",ISNUMBER($E77)),SUMIF((OFFSET(CÁLCULO!$AM$15:$AW$15,$E77,0,OFFSET(ORÇAMENTO!$D$15,CRONO!$E77,0))),"="&amp;CRONO!AB$12,OFFSET(CÁLCULO!$AB$15:$AL$15,$E77,0,OFFSET(ORÇAMENTO!$D$15,CRONO!$E77,0)))+IF(AND($E79&lt;&gt;"",$E79&lt;&gt;0),SUMIF(CÁLCULO!$AM$15:$AW$165,"="&amp;CRONO!AB$12,CÁLCULO!$AB$15:$AL$165)/(ORÇAMENTO!$X$15-CÁLCULO.TotalAdmLocal)*CRONO!$E79,0),AB78*$R77),SUMIF(OFFSET($R79,1,0,$Q77-2),($L77+1)&amp;"$",OFFSET(AB79,1,0,$Q77-2)))</f>
        <v>0</v>
      </c>
      <c r="AC79" s="223">
        <f ca="1">IF($Q77=2,IF(AND(ACOMPANHAMENTO="PLE",ISNUMBER($E77)),SUMIF((OFFSET(CÁLCULO!$AM$15:$AW$15,$E77,0,OFFSET(ORÇAMENTO!$D$15,CRONO!$E77,0))),"="&amp;CRONO!AC$12,OFFSET(CÁLCULO!$AB$15:$AL$15,$E77,0,OFFSET(ORÇAMENTO!$D$15,CRONO!$E77,0)))+IF(AND($E79&lt;&gt;"",$E79&lt;&gt;0),SUMIF(CÁLCULO!$AM$15:$AW$165,"="&amp;CRONO!AC$12,CÁLCULO!$AB$15:$AL$165)/(ORÇAMENTO!$X$15-CÁLCULO.TotalAdmLocal)*CRONO!$E79,0),AC78*$R77),SUMIF(OFFSET($R79,1,0,$Q77-2),($L77+1)&amp;"$",OFFSET(AC79,1,0,$Q77-2)))</f>
        <v>0</v>
      </c>
      <c r="AD79" s="223">
        <f ca="1">IF($Q77=2,IF(AND(ACOMPANHAMENTO="PLE",ISNUMBER($E77)),SUMIF((OFFSET(CÁLCULO!$AM$15:$AW$15,$E77,0,OFFSET(ORÇAMENTO!$D$15,CRONO!$E77,0))),"="&amp;CRONO!AD$12,OFFSET(CÁLCULO!$AB$15:$AL$15,$E77,0,OFFSET(ORÇAMENTO!$D$15,CRONO!$E77,0)))+IF(AND($E79&lt;&gt;"",$E79&lt;&gt;0),SUMIF(CÁLCULO!$AM$15:$AW$165,"="&amp;CRONO!AD$12,CÁLCULO!$AB$15:$AL$165)/(ORÇAMENTO!$X$15-CÁLCULO.TotalAdmLocal)*CRONO!$E79,0),AD78*$R77),SUMIF(OFFSET($R79,1,0,$Q77-2),($L77+1)&amp;"$",OFFSET(AD79,1,0,$Q77-2)))</f>
        <v>0</v>
      </c>
      <c r="AE79" s="228">
        <f ca="1">IF($Q77=2,IF(AND(ACOMPANHAMENTO="PLE",ISNUMBER($E77)),SUMIF((OFFSET(CÁLCULO!$AM$15:$AW$15,$E77,0,OFFSET(ORÇAMENTO!$D$15,CRONO!$E77,0))),"="&amp;CRONO!AE$12,OFFSET(CÁLCULO!$AB$15:$AL$15,$E77,0,OFFSET(ORÇAMENTO!$D$15,CRONO!$E77,0)))+IF(AND($E79&lt;&gt;"",$E79&lt;&gt;0),SUMIF(CÁLCULO!$AM$15:$AW$165,"="&amp;CRONO!AE$12,CÁLCULO!$AB$15:$AL$165)/(ORÇAMENTO!$X$15-CÁLCULO.TotalAdmLocal)*CRONO!$E79,0),AE78*$R77),SUMIF(OFFSET($R79,1,0,$Q77-2),($L77+1)&amp;"$",OFFSET(AE79,1,0,$Q77-2)))</f>
        <v>0</v>
      </c>
    </row>
    <row r="80" spans="1:32" x14ac:dyDescent="0.2">
      <c r="A80" s="204">
        <f t="shared" ref="A80" ca="1" si="157">OFFSET(A80,-3,0)+1</f>
        <v>23</v>
      </c>
      <c r="B80" s="204">
        <f ca="1">IF($Q80&lt;&gt;2,0,IF($R80=0,1,IF(E81&gt;0,OFFSET(QCI!$M$13,SUBSTITUTE(E81,".",""),0),OFFSET(ORÇAMENTO!$AA$15,CRONO!$E80,0))/$R80))</f>
        <v>1</v>
      </c>
      <c r="C80" s="204">
        <f ca="1">IF($Q80&lt;&gt;2,0,IF($R80=0,1,IF(E81&gt;0,OFFSET(QCI!$N$13,SUBSTITUTE(E81,".",""),0),OFFSET(ORÇAMENTO!$AB$15,CRONO!$E80,0))/$R80))</f>
        <v>0</v>
      </c>
      <c r="D80" s="207">
        <f ca="1">IF(AND($Q80=2,ACOMPANHAMENTO="BM"),D81,D82/$R80)</f>
        <v>0</v>
      </c>
      <c r="E80" s="204">
        <f ca="1">IF(A80&lt;=ORÇAMENTO.MáximoListaCrono,MATCH(A80,ORÇAMENTO.ListaCrono,0),NA())</f>
        <v>102</v>
      </c>
      <c r="F80" s="204" t="str">
        <f t="shared" ref="F80" ca="1" si="158">IF(AND($E81&lt;&gt;-1,$R80&gt;0),"F","")</f>
        <v>F</v>
      </c>
      <c r="G80" s="208">
        <f ca="1">IF(OR(R80=0,R80=""),"Linha",IF(AND(OR(ACOMPANHAMENTO="PLE",$Q80&lt;&gt;2),$E81=0),"Linha",1-SUM(T80:AF80)))</f>
        <v>0</v>
      </c>
      <c r="H80" s="209" t="str">
        <f ca="1">IF($E81=0,OFFSET(ORÇAMENTO!O$15,$E80,0),IF($E81&lt;&gt;-1,OFFSET(QCI!$D$13,$E81,0),""))</f>
        <v>7.1.</v>
      </c>
      <c r="I80" s="210" t="str">
        <f ca="1">IF($E81=0,OFFSET(ORÇAMENTO!R$15,$E80,0),IF($E81&lt;&gt;-1,OFFSET(QCI!$G$13,$E81,0),""))</f>
        <v>PISO</v>
      </c>
      <c r="J80" s="210"/>
      <c r="K80" s="210"/>
      <c r="L80" s="211">
        <f ca="1">IF($E81=0,OFFSET(ORÇAMENTO!C$15,$E80,0),1)</f>
        <v>2</v>
      </c>
      <c r="M80" s="212">
        <f ca="1">IF($E81=-1,0,IF(M$13&lt;=$L80,IF(ISERROR(MATCH(M$13,OFFSET($L80,1,0,ROW($L$113)-ROW($L80)-1),0)),ROW($L$113)-ROW($L80)-1,MATCH(M$13,OFFSET($L80,1,0,ROW($L$113)-ROW($L80)-1),0)-1),0))</f>
        <v>2</v>
      </c>
      <c r="N80" s="212">
        <f ca="1">IF($E81=-1,0,IF(N$13&lt;=$L80,IF(ISERROR(MATCH(N$13,OFFSET($L80,1,0,ROW($L$113)-ROW($L80)-1),0)),ROW($L$113)-ROW($L80)-1,MATCH(N$13,OFFSET($L80,1,0,ROW($L$113)-ROW($L80)-1),0)-1),0))</f>
        <v>5</v>
      </c>
      <c r="O80" s="212">
        <f ca="1">IF($E81=-1,0,IF(O$13&lt;=$L80,IF(ISERROR(MATCH(O$13,OFFSET($L80,1,0,ROW($L$113)-ROW($L80)-1),0)),ROW($L$113)-ROW($L80)-1,MATCH(O$13,OFFSET($L80,1,0,ROW($L$113)-ROW($L80)-1),0)-1),0))</f>
        <v>0</v>
      </c>
      <c r="P80" s="212">
        <f ca="1">IF($E81=-1,0,IF(P$13&lt;=$L80,IF(ISERROR(MATCH(P$13,OFFSET($L80,1,0,ROW($L$113)-ROW($L80)-1),0)),ROW($L$113)-ROW($L80)-1,MATCH(P$13,OFFSET($L80,1,0,ROW($L$113)-ROW($L80)-1),0)-1),0))</f>
        <v>0</v>
      </c>
      <c r="Q80" s="212">
        <f t="shared" ref="Q80" ca="1" si="159">MIN(OFFSET(L80,0,1,,L80))</f>
        <v>2</v>
      </c>
      <c r="R80" s="213">
        <f ca="1">IF($E81=0,OFFSET(ORÇAMENTO!X$15,$E80,0),IF($E81&lt;&gt;-1,OFFSET(QCI!$O$13,$E81,0),""))</f>
        <v>37813.360000000001</v>
      </c>
      <c r="S80" s="214" t="s">
        <v>270</v>
      </c>
      <c r="T80" s="215">
        <f t="shared" ref="T80:AE80" ca="1" si="160">IF(AND($Q80=2,ACOMPANHAMENTO="BM"),T81,T82/$R80)</f>
        <v>0.05</v>
      </c>
      <c r="U80" s="207">
        <f t="shared" ca="1" si="160"/>
        <v>0.95</v>
      </c>
      <c r="V80" s="207">
        <f t="shared" ca="1" si="160"/>
        <v>0</v>
      </c>
      <c r="W80" s="207">
        <f t="shared" ca="1" si="160"/>
        <v>0</v>
      </c>
      <c r="X80" s="207">
        <f t="shared" ca="1" si="160"/>
        <v>0</v>
      </c>
      <c r="Y80" s="207">
        <f t="shared" ca="1" si="160"/>
        <v>0</v>
      </c>
      <c r="Z80" s="207">
        <f t="shared" ca="1" si="160"/>
        <v>0</v>
      </c>
      <c r="AA80" s="207">
        <f t="shared" ca="1" si="160"/>
        <v>0</v>
      </c>
      <c r="AB80" s="207">
        <f t="shared" ca="1" si="160"/>
        <v>0</v>
      </c>
      <c r="AC80" s="207">
        <f t="shared" ca="1" si="160"/>
        <v>0</v>
      </c>
      <c r="AD80" s="207">
        <f t="shared" ca="1" si="160"/>
        <v>0</v>
      </c>
      <c r="AE80" s="216">
        <f t="shared" ca="1" si="160"/>
        <v>0</v>
      </c>
    </row>
    <row r="81" spans="1:32" ht="12.75" customHeight="1" x14ac:dyDescent="0.2">
      <c r="D81" s="569"/>
      <c r="E81" s="204">
        <f ca="1">IF(ISERROR(E80),IF(1+COUNTIF($L$13:OFFSET(L80,-1,0),1)&lt;=MAX(QCI!$D$13:$D$24),1+COUNTIF($L$13:OFFSET(L80,-1,0),1),-1),0)</f>
        <v>0</v>
      </c>
      <c r="F81" s="204" t="str">
        <f t="shared" ref="F81" ca="1" si="161">IF(AND($E81&lt;&gt;-1,$R80&gt;0),"F","")</f>
        <v>F</v>
      </c>
      <c r="G81" s="217" t="str">
        <f ca="1">IF(OR(R80=0,R80=""),"vazia",IF(AND(OR(ACOMPANHAMENTO="PLE",$Q80&lt;&gt;2),$E81=0),"calculada","--&gt;"))</f>
        <v>--&gt;</v>
      </c>
      <c r="H81" s="218"/>
      <c r="I81" s="219" t="str">
        <f t="shared" ref="I81" ca="1" si="162">IF(AND(G80&lt;&gt;0,ISNUMBER(G80)),"PREENCHA ESTA LINHA --&gt;","")</f>
        <v/>
      </c>
      <c r="J81" s="219"/>
      <c r="K81" s="219"/>
      <c r="L81" s="220"/>
      <c r="M81" s="220"/>
      <c r="N81" s="220"/>
      <c r="O81" s="220"/>
      <c r="P81" s="220"/>
      <c r="Q81" s="220"/>
      <c r="R81" s="221"/>
      <c r="S81" s="222"/>
      <c r="T81" s="570">
        <v>0.05</v>
      </c>
      <c r="U81" s="569">
        <v>0.95</v>
      </c>
      <c r="V81" s="569"/>
      <c r="W81" s="569"/>
      <c r="X81" s="569"/>
      <c r="Y81" s="569"/>
      <c r="Z81" s="569"/>
      <c r="AA81" s="569"/>
      <c r="AB81" s="569"/>
      <c r="AC81" s="569"/>
      <c r="AD81" s="569"/>
      <c r="AE81" s="571"/>
      <c r="AF81" s="533"/>
    </row>
    <row r="82" spans="1:32" ht="0.2" hidden="1" customHeight="1" x14ac:dyDescent="0.2">
      <c r="D82" s="223">
        <f ca="1">IF($Q80=2,IF(AND(ACOMPANHAMENTO="PLE",ISNUMBER($E80)),SUMIF((OFFSET(CÁLCULO!$AM$15:$AW$15,$E80,0,OFFSET(ORÇAMENTO!$D$15,CRONO!$E80,0))),"="&amp;CRONO!D$12,OFFSET(CÁLCULO!$AB$15:$AL$15,$E80,0,OFFSET(ORÇAMENTO!$D$15,CRONO!$E80,0)))+IF(AND($E82&lt;&gt;"",$E82&lt;&gt;0),SUMIF(CÁLCULO!$AM$15:$AW$165,"="&amp;CRONO!D$12,CÁLCULO!$AB$15:$AL$165)/(ORÇAMENTO!$X$15-CÁLCULO.TotalAdmLocal)*CRONO!$E82,0),D81*$R80),SUMIF(OFFSET($R82,1,0,$Q80-2),($L80+1)&amp;"$",OFFSET(D82,1,0,$Q80-2)))</f>
        <v>0</v>
      </c>
      <c r="E82" s="204" t="str">
        <f ca="1">IF(OR($Q80&lt;&gt;2,AUTOEVENTO&lt;&gt;"manual",$E81&gt;0),"",SUMIF(OFFSET(CÁLCULO!$M$15,CRONO!$E80,0,OFFSET(ORÇAMENTO!$D$15,CRONO!$E80,0)),1,OFFSET(ORÇAMENTO!$X$15,CRONO!$E80,0,OFFSET(ORÇAMENTO!$D$15,CRONO!$E80,0))))</f>
        <v/>
      </c>
      <c r="G82" s="224"/>
      <c r="R82" s="225" t="str">
        <f t="shared" ref="R82" ca="1" si="163">L80&amp;"$"</f>
        <v>2$</v>
      </c>
      <c r="S82" s="226"/>
      <c r="T82" s="227">
        <f ca="1">IF($Q80=2,IF(AND(ACOMPANHAMENTO="PLE",ISNUMBER($E80)),SUMIF((OFFSET(CÁLCULO!$AM$15:$AW$15,$E80,0,OFFSET(ORÇAMENTO!$D$15,CRONO!$E80,0))),"&lt;="&amp;CRONO!T$12,OFFSET(CÁLCULO!$AB$15:$AL$15,$E80,0,OFFSET(ORÇAMENTO!$D$15,CRONO!$E80,0)))+IF(AND($E82&lt;&gt;"",$E82&lt;&gt;0),SUMIF(CÁLCULO!$AM$15:$AW$165,"&lt;="&amp;CRONO!T$12,CÁLCULO!$AB$15:$AL$165)/(ORÇAMENTO!$X$15-CÁLCULO.TotalAdmLocal)*CRONO!$E82,0),T81*$R80),SUMIF(OFFSET($R82,1,0,$Q80-2),($L80+1)&amp;"$",OFFSET(T82,1,0,$Q80-2)))</f>
        <v>1890.6680000000001</v>
      </c>
      <c r="U82" s="223">
        <f ca="1">IF($Q80=2,IF(AND(ACOMPANHAMENTO="PLE",ISNUMBER($E80)),SUMIF((OFFSET(CÁLCULO!$AM$15:$AW$15,$E80,0,OFFSET(ORÇAMENTO!$D$15,CRONO!$E80,0))),"="&amp;CRONO!U$12,OFFSET(CÁLCULO!$AB$15:$AL$15,$E80,0,OFFSET(ORÇAMENTO!$D$15,CRONO!$E80,0)))+IF(AND($E82&lt;&gt;"",$E82&lt;&gt;0),SUMIF(CÁLCULO!$AM$15:$AW$165,"="&amp;CRONO!U$12,CÁLCULO!$AB$15:$AL$165)/(ORÇAMENTO!$X$15-CÁLCULO.TotalAdmLocal)*CRONO!$E82,0),U81*$R80),SUMIF(OFFSET($R82,1,0,$Q80-2),($L80+1)&amp;"$",OFFSET(U82,1,0,$Q80-2)))</f>
        <v>35922.691999999995</v>
      </c>
      <c r="V82" s="223">
        <f ca="1">IF($Q80=2,IF(AND(ACOMPANHAMENTO="PLE",ISNUMBER($E80)),SUMIF((OFFSET(CÁLCULO!$AM$15:$AW$15,$E80,0,OFFSET(ORÇAMENTO!$D$15,CRONO!$E80,0))),"="&amp;CRONO!V$12,OFFSET(CÁLCULO!$AB$15:$AL$15,$E80,0,OFFSET(ORÇAMENTO!$D$15,CRONO!$E80,0)))+IF(AND($E82&lt;&gt;"",$E82&lt;&gt;0),SUMIF(CÁLCULO!$AM$15:$AW$165,"="&amp;CRONO!V$12,CÁLCULO!$AB$15:$AL$165)/(ORÇAMENTO!$X$15-CÁLCULO.TotalAdmLocal)*CRONO!$E82,0),V81*$R80),SUMIF(OFFSET($R82,1,0,$Q80-2),($L80+1)&amp;"$",OFFSET(V82,1,0,$Q80-2)))</f>
        <v>0</v>
      </c>
      <c r="W82" s="223">
        <f ca="1">IF($Q80=2,IF(AND(ACOMPANHAMENTO="PLE",ISNUMBER($E80)),SUMIF((OFFSET(CÁLCULO!$AM$15:$AW$15,$E80,0,OFFSET(ORÇAMENTO!$D$15,CRONO!$E80,0))),"="&amp;CRONO!W$12,OFFSET(CÁLCULO!$AB$15:$AL$15,$E80,0,OFFSET(ORÇAMENTO!$D$15,CRONO!$E80,0)))+IF(AND($E82&lt;&gt;"",$E82&lt;&gt;0),SUMIF(CÁLCULO!$AM$15:$AW$165,"="&amp;CRONO!W$12,CÁLCULO!$AB$15:$AL$165)/(ORÇAMENTO!$X$15-CÁLCULO.TotalAdmLocal)*CRONO!$E82,0),W81*$R80),SUMIF(OFFSET($R82,1,0,$Q80-2),($L80+1)&amp;"$",OFFSET(W82,1,0,$Q80-2)))</f>
        <v>0</v>
      </c>
      <c r="X82" s="223">
        <f ca="1">IF($Q80=2,IF(AND(ACOMPANHAMENTO="PLE",ISNUMBER($E80)),SUMIF((OFFSET(CÁLCULO!$AM$15:$AW$15,$E80,0,OFFSET(ORÇAMENTO!$D$15,CRONO!$E80,0))),"="&amp;CRONO!X$12,OFFSET(CÁLCULO!$AB$15:$AL$15,$E80,0,OFFSET(ORÇAMENTO!$D$15,CRONO!$E80,0)))+IF(AND($E82&lt;&gt;"",$E82&lt;&gt;0),SUMIF(CÁLCULO!$AM$15:$AW$165,"="&amp;CRONO!X$12,CÁLCULO!$AB$15:$AL$165)/(ORÇAMENTO!$X$15-CÁLCULO.TotalAdmLocal)*CRONO!$E82,0),X81*$R80),SUMIF(OFFSET($R82,1,0,$Q80-2),($L80+1)&amp;"$",OFFSET(X82,1,0,$Q80-2)))</f>
        <v>0</v>
      </c>
      <c r="Y82" s="223">
        <f ca="1">IF($Q80=2,IF(AND(ACOMPANHAMENTO="PLE",ISNUMBER($E80)),SUMIF((OFFSET(CÁLCULO!$AM$15:$AW$15,$E80,0,OFFSET(ORÇAMENTO!$D$15,CRONO!$E80,0))),"="&amp;CRONO!Y$12,OFFSET(CÁLCULO!$AB$15:$AL$15,$E80,0,OFFSET(ORÇAMENTO!$D$15,CRONO!$E80,0)))+IF(AND($E82&lt;&gt;"",$E82&lt;&gt;0),SUMIF(CÁLCULO!$AM$15:$AW$165,"="&amp;CRONO!Y$12,CÁLCULO!$AB$15:$AL$165)/(ORÇAMENTO!$X$15-CÁLCULO.TotalAdmLocal)*CRONO!$E82,0),Y81*$R80),SUMIF(OFFSET($R82,1,0,$Q80-2),($L80+1)&amp;"$",OFFSET(Y82,1,0,$Q80-2)))</f>
        <v>0</v>
      </c>
      <c r="Z82" s="223">
        <f ca="1">IF($Q80=2,IF(AND(ACOMPANHAMENTO="PLE",ISNUMBER($E80)),SUMIF((OFFSET(CÁLCULO!$AM$15:$AW$15,$E80,0,OFFSET(ORÇAMENTO!$D$15,CRONO!$E80,0))),"="&amp;CRONO!Z$12,OFFSET(CÁLCULO!$AB$15:$AL$15,$E80,0,OFFSET(ORÇAMENTO!$D$15,CRONO!$E80,0)))+IF(AND($E82&lt;&gt;"",$E82&lt;&gt;0),SUMIF(CÁLCULO!$AM$15:$AW$165,"="&amp;CRONO!Z$12,CÁLCULO!$AB$15:$AL$165)/(ORÇAMENTO!$X$15-CÁLCULO.TotalAdmLocal)*CRONO!$E82,0),Z81*$R80),SUMIF(OFFSET($R82,1,0,$Q80-2),($L80+1)&amp;"$",OFFSET(Z82,1,0,$Q80-2)))</f>
        <v>0</v>
      </c>
      <c r="AA82" s="223">
        <f ca="1">IF($Q80=2,IF(AND(ACOMPANHAMENTO="PLE",ISNUMBER($E80)),SUMIF((OFFSET(CÁLCULO!$AM$15:$AW$15,$E80,0,OFFSET(ORÇAMENTO!$D$15,CRONO!$E80,0))),"="&amp;CRONO!AA$12,OFFSET(CÁLCULO!$AB$15:$AL$15,$E80,0,OFFSET(ORÇAMENTO!$D$15,CRONO!$E80,0)))+IF(AND($E82&lt;&gt;"",$E82&lt;&gt;0),SUMIF(CÁLCULO!$AM$15:$AW$165,"="&amp;CRONO!AA$12,CÁLCULO!$AB$15:$AL$165)/(ORÇAMENTO!$X$15-CÁLCULO.TotalAdmLocal)*CRONO!$E82,0),AA81*$R80),SUMIF(OFFSET($R82,1,0,$Q80-2),($L80+1)&amp;"$",OFFSET(AA82,1,0,$Q80-2)))</f>
        <v>0</v>
      </c>
      <c r="AB82" s="223">
        <f ca="1">IF($Q80=2,IF(AND(ACOMPANHAMENTO="PLE",ISNUMBER($E80)),SUMIF((OFFSET(CÁLCULO!$AM$15:$AW$15,$E80,0,OFFSET(ORÇAMENTO!$D$15,CRONO!$E80,0))),"="&amp;CRONO!AB$12,OFFSET(CÁLCULO!$AB$15:$AL$15,$E80,0,OFFSET(ORÇAMENTO!$D$15,CRONO!$E80,0)))+IF(AND($E82&lt;&gt;"",$E82&lt;&gt;0),SUMIF(CÁLCULO!$AM$15:$AW$165,"="&amp;CRONO!AB$12,CÁLCULO!$AB$15:$AL$165)/(ORÇAMENTO!$X$15-CÁLCULO.TotalAdmLocal)*CRONO!$E82,0),AB81*$R80),SUMIF(OFFSET($R82,1,0,$Q80-2),($L80+1)&amp;"$",OFFSET(AB82,1,0,$Q80-2)))</f>
        <v>0</v>
      </c>
      <c r="AC82" s="223">
        <f ca="1">IF($Q80=2,IF(AND(ACOMPANHAMENTO="PLE",ISNUMBER($E80)),SUMIF((OFFSET(CÁLCULO!$AM$15:$AW$15,$E80,0,OFFSET(ORÇAMENTO!$D$15,CRONO!$E80,0))),"="&amp;CRONO!AC$12,OFFSET(CÁLCULO!$AB$15:$AL$15,$E80,0,OFFSET(ORÇAMENTO!$D$15,CRONO!$E80,0)))+IF(AND($E82&lt;&gt;"",$E82&lt;&gt;0),SUMIF(CÁLCULO!$AM$15:$AW$165,"="&amp;CRONO!AC$12,CÁLCULO!$AB$15:$AL$165)/(ORÇAMENTO!$X$15-CÁLCULO.TotalAdmLocal)*CRONO!$E82,0),AC81*$R80),SUMIF(OFFSET($R82,1,0,$Q80-2),($L80+1)&amp;"$",OFFSET(AC82,1,0,$Q80-2)))</f>
        <v>0</v>
      </c>
      <c r="AD82" s="223">
        <f ca="1">IF($Q80=2,IF(AND(ACOMPANHAMENTO="PLE",ISNUMBER($E80)),SUMIF((OFFSET(CÁLCULO!$AM$15:$AW$15,$E80,0,OFFSET(ORÇAMENTO!$D$15,CRONO!$E80,0))),"="&amp;CRONO!AD$12,OFFSET(CÁLCULO!$AB$15:$AL$15,$E80,0,OFFSET(ORÇAMENTO!$D$15,CRONO!$E80,0)))+IF(AND($E82&lt;&gt;"",$E82&lt;&gt;0),SUMIF(CÁLCULO!$AM$15:$AW$165,"="&amp;CRONO!AD$12,CÁLCULO!$AB$15:$AL$165)/(ORÇAMENTO!$X$15-CÁLCULO.TotalAdmLocal)*CRONO!$E82,0),AD81*$R80),SUMIF(OFFSET($R82,1,0,$Q80-2),($L80+1)&amp;"$",OFFSET(AD82,1,0,$Q80-2)))</f>
        <v>0</v>
      </c>
      <c r="AE82" s="228">
        <f ca="1">IF($Q80=2,IF(AND(ACOMPANHAMENTO="PLE",ISNUMBER($E80)),SUMIF((OFFSET(CÁLCULO!$AM$15:$AW$15,$E80,0,OFFSET(ORÇAMENTO!$D$15,CRONO!$E80,0))),"="&amp;CRONO!AE$12,OFFSET(CÁLCULO!$AB$15:$AL$15,$E80,0,OFFSET(ORÇAMENTO!$D$15,CRONO!$E80,0)))+IF(AND($E82&lt;&gt;"",$E82&lt;&gt;0),SUMIF(CÁLCULO!$AM$15:$AW$165,"="&amp;CRONO!AE$12,CÁLCULO!$AB$15:$AL$165)/(ORÇAMENTO!$X$15-CÁLCULO.TotalAdmLocal)*CRONO!$E82,0),AE81*$R80),SUMIF(OFFSET($R82,1,0,$Q80-2),($L80+1)&amp;"$",OFFSET(AE82,1,0,$Q80-2)))</f>
        <v>0</v>
      </c>
    </row>
    <row r="83" spans="1:32" x14ac:dyDescent="0.2">
      <c r="A83" s="204">
        <f t="shared" ref="A83" ca="1" si="164">OFFSET(A83,-3,0)+1</f>
        <v>24</v>
      </c>
      <c r="B83" s="204">
        <f ca="1">IF($Q83&lt;&gt;2,0,IF($R83=0,1,IF(E84&gt;0,OFFSET(QCI!$M$13,SUBSTITUTE(E84,".",""),0),OFFSET(ORÇAMENTO!$AA$15,CRONO!$E83,0))/$R83))</f>
        <v>0</v>
      </c>
      <c r="C83" s="204">
        <f ca="1">IF($Q83&lt;&gt;2,0,IF($R83=0,1,IF(E84&gt;0,OFFSET(QCI!$N$13,SUBSTITUTE(E84,".",""),0),OFFSET(ORÇAMENTO!$AB$15,CRONO!$E83,0))/$R83))</f>
        <v>0</v>
      </c>
      <c r="D83" s="207">
        <f ca="1">IF(AND($Q83=2,ACOMPANHAMENTO="BM"),D84,D85/$R83)</f>
        <v>0</v>
      </c>
      <c r="E83" s="204">
        <f ca="1">IF(A83&lt;=ORÇAMENTO.MáximoListaCrono,MATCH(A83,ORÇAMENTO.ListaCrono,0),NA())</f>
        <v>107</v>
      </c>
      <c r="F83" s="204" t="str">
        <f t="shared" ref="F83" ca="1" si="165">IF(AND($E84&lt;&gt;-1,$R83&gt;0),"F","")</f>
        <v>F</v>
      </c>
      <c r="G83" s="208" t="str">
        <f ca="1">IF(OR(R83=0,R83=""),"Linha",IF(AND(OR(ACOMPANHAMENTO="PLE",$Q83&lt;&gt;2),$E84=0),"Linha",1-SUM(T83:AF83)))</f>
        <v>Linha</v>
      </c>
      <c r="H83" s="209" t="str">
        <f ca="1">IF($E84=0,OFFSET(ORÇAMENTO!O$15,$E83,0),IF($E84&lt;&gt;-1,OFFSET(QCI!$D$13,$E84,0),""))</f>
        <v>8.</v>
      </c>
      <c r="I83" s="210" t="str">
        <f ca="1">IF($E84=0,OFFSET(ORÇAMENTO!R$15,$E83,0),IF($E84&lt;&gt;-1,OFFSET(QCI!$G$13,$E84,0),""))</f>
        <v xml:space="preserve">ACABAMENTOS </v>
      </c>
      <c r="J83" s="210"/>
      <c r="K83" s="210"/>
      <c r="L83" s="211">
        <f ca="1">IF($E84=0,OFFSET(ORÇAMENTO!C$15,$E83,0),1)</f>
        <v>1</v>
      </c>
      <c r="M83" s="212">
        <f ca="1">IF($E84=-1,0,IF(M$13&lt;=$L83,IF(ISERROR(MATCH(M$13,OFFSET($L83,1,0,ROW($L$113)-ROW($L83)-1),0)),ROW($L$113)-ROW($L83)-1,MATCH(M$13,OFFSET($L83,1,0,ROW($L$113)-ROW($L83)-1),0)-1),0))</f>
        <v>11</v>
      </c>
      <c r="N83" s="212">
        <f ca="1">IF($E84=-1,0,IF(N$13&lt;=$L83,IF(ISERROR(MATCH(N$13,OFFSET($L83,1,0,ROW($L$113)-ROW($L83)-1),0)),ROW($L$113)-ROW($L83)-1,MATCH(N$13,OFFSET($L83,1,0,ROW($L$113)-ROW($L83)-1),0)-1),0))</f>
        <v>0</v>
      </c>
      <c r="O83" s="212">
        <f ca="1">IF($E84=-1,0,IF(O$13&lt;=$L83,IF(ISERROR(MATCH(O$13,OFFSET($L83,1,0,ROW($L$113)-ROW($L83)-1),0)),ROW($L$113)-ROW($L83)-1,MATCH(O$13,OFFSET($L83,1,0,ROW($L$113)-ROW($L83)-1),0)-1),0))</f>
        <v>0</v>
      </c>
      <c r="P83" s="212">
        <f ca="1">IF($E84=-1,0,IF(P$13&lt;=$L83,IF(ISERROR(MATCH(P$13,OFFSET($L83,1,0,ROW($L$113)-ROW($L83)-1),0)),ROW($L$113)-ROW($L83)-1,MATCH(P$13,OFFSET($L83,1,0,ROW($L$113)-ROW($L83)-1),0)-1),0))</f>
        <v>0</v>
      </c>
      <c r="Q83" s="212">
        <f t="shared" ref="Q83" ca="1" si="166">MIN(OFFSET(L83,0,1,,L83))</f>
        <v>11</v>
      </c>
      <c r="R83" s="213">
        <f ca="1">IF($E84=0,OFFSET(ORÇAMENTO!X$15,$E83,0),IF($E84&lt;&gt;-1,OFFSET(QCI!$O$13,$E84,0),""))</f>
        <v>32814.04</v>
      </c>
      <c r="S83" s="214" t="s">
        <v>270</v>
      </c>
      <c r="T83" s="215">
        <f t="shared" ref="T83:AE83" ca="1" si="167">IF(AND($Q83=2,ACOMPANHAMENTO="BM"),T84,T85/$R83)</f>
        <v>0</v>
      </c>
      <c r="U83" s="207">
        <f t="shared" ca="1" si="167"/>
        <v>0.33196168469350318</v>
      </c>
      <c r="V83" s="207">
        <f t="shared" ca="1" si="167"/>
        <v>0.66803831530649682</v>
      </c>
      <c r="W83" s="207">
        <f t="shared" ca="1" si="167"/>
        <v>0</v>
      </c>
      <c r="X83" s="207">
        <f t="shared" ca="1" si="167"/>
        <v>0</v>
      </c>
      <c r="Y83" s="207">
        <f t="shared" ca="1" si="167"/>
        <v>0</v>
      </c>
      <c r="Z83" s="207">
        <f t="shared" ca="1" si="167"/>
        <v>0</v>
      </c>
      <c r="AA83" s="207">
        <f t="shared" ca="1" si="167"/>
        <v>0</v>
      </c>
      <c r="AB83" s="207">
        <f t="shared" ca="1" si="167"/>
        <v>0</v>
      </c>
      <c r="AC83" s="207">
        <f t="shared" ca="1" si="167"/>
        <v>0</v>
      </c>
      <c r="AD83" s="207">
        <f t="shared" ca="1" si="167"/>
        <v>0</v>
      </c>
      <c r="AE83" s="216">
        <f t="shared" ca="1" si="167"/>
        <v>0</v>
      </c>
    </row>
    <row r="84" spans="1:32" ht="12.75" customHeight="1" x14ac:dyDescent="0.2">
      <c r="D84" s="569"/>
      <c r="E84" s="204">
        <f ca="1">IF(ISERROR(E83),IF(1+COUNTIF($L$13:OFFSET(L83,-1,0),1)&lt;=MAX(QCI!$D$13:$D$24),1+COUNTIF($L$13:OFFSET(L83,-1,0),1),-1),0)</f>
        <v>0</v>
      </c>
      <c r="F84" s="204" t="str">
        <f t="shared" ref="F84" ca="1" si="168">IF(AND($E84&lt;&gt;-1,$R83&gt;0),"F","")</f>
        <v>F</v>
      </c>
      <c r="G84" s="217" t="str">
        <f ca="1">IF(OR(R83=0,R83=""),"vazia",IF(AND(OR(ACOMPANHAMENTO="PLE",$Q83&lt;&gt;2),$E84=0),"calculada","--&gt;"))</f>
        <v>calculada</v>
      </c>
      <c r="H84" s="218"/>
      <c r="I84" s="219" t="str">
        <f t="shared" ref="I84" ca="1" si="169">IF(AND(G83&lt;&gt;0,ISNUMBER(G83)),"PREENCHA ESTA LINHA --&gt;","")</f>
        <v/>
      </c>
      <c r="J84" s="219"/>
      <c r="K84" s="219"/>
      <c r="L84" s="220"/>
      <c r="M84" s="220"/>
      <c r="N84" s="220"/>
      <c r="O84" s="220"/>
      <c r="P84" s="220"/>
      <c r="Q84" s="220"/>
      <c r="R84" s="221"/>
      <c r="S84" s="222"/>
      <c r="T84" s="570"/>
      <c r="U84" s="569"/>
      <c r="V84" s="569">
        <v>1</v>
      </c>
      <c r="W84" s="569"/>
      <c r="X84" s="569"/>
      <c r="Y84" s="569"/>
      <c r="Z84" s="569"/>
      <c r="AA84" s="569"/>
      <c r="AB84" s="569"/>
      <c r="AC84" s="569"/>
      <c r="AD84" s="569"/>
      <c r="AE84" s="571"/>
      <c r="AF84" s="533"/>
    </row>
    <row r="85" spans="1:32" ht="0.2" hidden="1" customHeight="1" x14ac:dyDescent="0.2">
      <c r="D85" s="223">
        <f ca="1">IF($Q83=2,IF(AND(ACOMPANHAMENTO="PLE",ISNUMBER($E83)),SUMIF((OFFSET(CÁLCULO!$AM$15:$AW$15,$E83,0,OFFSET(ORÇAMENTO!$D$15,CRONO!$E83,0))),"="&amp;CRONO!D$12,OFFSET(CÁLCULO!$AB$15:$AL$15,$E83,0,OFFSET(ORÇAMENTO!$D$15,CRONO!$E83,0)))+IF(AND($E85&lt;&gt;"",$E85&lt;&gt;0),SUMIF(CÁLCULO!$AM$15:$AW$165,"="&amp;CRONO!D$12,CÁLCULO!$AB$15:$AL$165)/(ORÇAMENTO!$X$15-CÁLCULO.TotalAdmLocal)*CRONO!$E85,0),D84*$R83),SUMIF(OFFSET($R85,1,0,$Q83-2),($L83+1)&amp;"$",OFFSET(D85,1,0,$Q83-2)))</f>
        <v>0</v>
      </c>
      <c r="E85" s="204" t="str">
        <f ca="1">IF(OR($Q83&lt;&gt;2,AUTOEVENTO&lt;&gt;"manual",$E84&gt;0),"",SUMIF(OFFSET(CÁLCULO!$M$15,CRONO!$E83,0,OFFSET(ORÇAMENTO!$D$15,CRONO!$E83,0)),1,OFFSET(ORÇAMENTO!$X$15,CRONO!$E83,0,OFFSET(ORÇAMENTO!$D$15,CRONO!$E83,0))))</f>
        <v/>
      </c>
      <c r="G85" s="224"/>
      <c r="R85" s="225" t="str">
        <f t="shared" ref="R85" ca="1" si="170">L83&amp;"$"</f>
        <v>1$</v>
      </c>
      <c r="S85" s="226"/>
      <c r="T85" s="227">
        <f ca="1">IF($Q83=2,IF(AND(ACOMPANHAMENTO="PLE",ISNUMBER($E83)),SUMIF((OFFSET(CÁLCULO!$AM$15:$AW$15,$E83,0,OFFSET(ORÇAMENTO!$D$15,CRONO!$E83,0))),"&lt;="&amp;CRONO!T$12,OFFSET(CÁLCULO!$AB$15:$AL$15,$E83,0,OFFSET(ORÇAMENTO!$D$15,CRONO!$E83,0)))+IF(AND($E85&lt;&gt;"",$E85&lt;&gt;0),SUMIF(CÁLCULO!$AM$15:$AW$165,"&lt;="&amp;CRONO!T$12,CÁLCULO!$AB$15:$AL$165)/(ORÇAMENTO!$X$15-CÁLCULO.TotalAdmLocal)*CRONO!$E85,0),T84*$R83),SUMIF(OFFSET($R85,1,0,$Q83-2),($L83+1)&amp;"$",OFFSET(T85,1,0,$Q83-2)))</f>
        <v>0</v>
      </c>
      <c r="U85" s="223">
        <f ca="1">IF($Q83=2,IF(AND(ACOMPANHAMENTO="PLE",ISNUMBER($E83)),SUMIF((OFFSET(CÁLCULO!$AM$15:$AW$15,$E83,0,OFFSET(ORÇAMENTO!$D$15,CRONO!$E83,0))),"="&amp;CRONO!U$12,OFFSET(CÁLCULO!$AB$15:$AL$15,$E83,0,OFFSET(ORÇAMENTO!$D$15,CRONO!$E83,0)))+IF(AND($E85&lt;&gt;"",$E85&lt;&gt;0),SUMIF(CÁLCULO!$AM$15:$AW$165,"="&amp;CRONO!U$12,CÁLCULO!$AB$15:$AL$165)/(ORÇAMENTO!$X$15-CÁLCULO.TotalAdmLocal)*CRONO!$E85,0),U84*$R83),SUMIF(OFFSET($R85,1,0,$Q83-2),($L83+1)&amp;"$",OFFSET(U85,1,0,$Q83-2)))</f>
        <v>10893.004000000001</v>
      </c>
      <c r="V85" s="223">
        <f ca="1">IF($Q83=2,IF(AND(ACOMPANHAMENTO="PLE",ISNUMBER($E83)),SUMIF((OFFSET(CÁLCULO!$AM$15:$AW$15,$E83,0,OFFSET(ORÇAMENTO!$D$15,CRONO!$E83,0))),"="&amp;CRONO!V$12,OFFSET(CÁLCULO!$AB$15:$AL$15,$E83,0,OFFSET(ORÇAMENTO!$D$15,CRONO!$E83,0)))+IF(AND($E85&lt;&gt;"",$E85&lt;&gt;0),SUMIF(CÁLCULO!$AM$15:$AW$165,"="&amp;CRONO!V$12,CÁLCULO!$AB$15:$AL$165)/(ORÇAMENTO!$X$15-CÁLCULO.TotalAdmLocal)*CRONO!$E85,0),V84*$R83),SUMIF(OFFSET($R85,1,0,$Q83-2),($L83+1)&amp;"$",OFFSET(V85,1,0,$Q83-2)))</f>
        <v>21921.036</v>
      </c>
      <c r="W85" s="223">
        <f ca="1">IF($Q83=2,IF(AND(ACOMPANHAMENTO="PLE",ISNUMBER($E83)),SUMIF((OFFSET(CÁLCULO!$AM$15:$AW$15,$E83,0,OFFSET(ORÇAMENTO!$D$15,CRONO!$E83,0))),"="&amp;CRONO!W$12,OFFSET(CÁLCULO!$AB$15:$AL$15,$E83,0,OFFSET(ORÇAMENTO!$D$15,CRONO!$E83,0)))+IF(AND($E85&lt;&gt;"",$E85&lt;&gt;0),SUMIF(CÁLCULO!$AM$15:$AW$165,"="&amp;CRONO!W$12,CÁLCULO!$AB$15:$AL$165)/(ORÇAMENTO!$X$15-CÁLCULO.TotalAdmLocal)*CRONO!$E85,0),W84*$R83),SUMIF(OFFSET($R85,1,0,$Q83-2),($L83+1)&amp;"$",OFFSET(W85,1,0,$Q83-2)))</f>
        <v>0</v>
      </c>
      <c r="X85" s="223">
        <f ca="1">IF($Q83=2,IF(AND(ACOMPANHAMENTO="PLE",ISNUMBER($E83)),SUMIF((OFFSET(CÁLCULO!$AM$15:$AW$15,$E83,0,OFFSET(ORÇAMENTO!$D$15,CRONO!$E83,0))),"="&amp;CRONO!X$12,OFFSET(CÁLCULO!$AB$15:$AL$15,$E83,0,OFFSET(ORÇAMENTO!$D$15,CRONO!$E83,0)))+IF(AND($E85&lt;&gt;"",$E85&lt;&gt;0),SUMIF(CÁLCULO!$AM$15:$AW$165,"="&amp;CRONO!X$12,CÁLCULO!$AB$15:$AL$165)/(ORÇAMENTO!$X$15-CÁLCULO.TotalAdmLocal)*CRONO!$E85,0),X84*$R83),SUMIF(OFFSET($R85,1,0,$Q83-2),($L83+1)&amp;"$",OFFSET(X85,1,0,$Q83-2)))</f>
        <v>0</v>
      </c>
      <c r="Y85" s="223">
        <f ca="1">IF($Q83=2,IF(AND(ACOMPANHAMENTO="PLE",ISNUMBER($E83)),SUMIF((OFFSET(CÁLCULO!$AM$15:$AW$15,$E83,0,OFFSET(ORÇAMENTO!$D$15,CRONO!$E83,0))),"="&amp;CRONO!Y$12,OFFSET(CÁLCULO!$AB$15:$AL$15,$E83,0,OFFSET(ORÇAMENTO!$D$15,CRONO!$E83,0)))+IF(AND($E85&lt;&gt;"",$E85&lt;&gt;0),SUMIF(CÁLCULO!$AM$15:$AW$165,"="&amp;CRONO!Y$12,CÁLCULO!$AB$15:$AL$165)/(ORÇAMENTO!$X$15-CÁLCULO.TotalAdmLocal)*CRONO!$E85,0),Y84*$R83),SUMIF(OFFSET($R85,1,0,$Q83-2),($L83+1)&amp;"$",OFFSET(Y85,1,0,$Q83-2)))</f>
        <v>0</v>
      </c>
      <c r="Z85" s="223">
        <f ca="1">IF($Q83=2,IF(AND(ACOMPANHAMENTO="PLE",ISNUMBER($E83)),SUMIF((OFFSET(CÁLCULO!$AM$15:$AW$15,$E83,0,OFFSET(ORÇAMENTO!$D$15,CRONO!$E83,0))),"="&amp;CRONO!Z$12,OFFSET(CÁLCULO!$AB$15:$AL$15,$E83,0,OFFSET(ORÇAMENTO!$D$15,CRONO!$E83,0)))+IF(AND($E85&lt;&gt;"",$E85&lt;&gt;0),SUMIF(CÁLCULO!$AM$15:$AW$165,"="&amp;CRONO!Z$12,CÁLCULO!$AB$15:$AL$165)/(ORÇAMENTO!$X$15-CÁLCULO.TotalAdmLocal)*CRONO!$E85,0),Z84*$R83),SUMIF(OFFSET($R85,1,0,$Q83-2),($L83+1)&amp;"$",OFFSET(Z85,1,0,$Q83-2)))</f>
        <v>0</v>
      </c>
      <c r="AA85" s="223">
        <f ca="1">IF($Q83=2,IF(AND(ACOMPANHAMENTO="PLE",ISNUMBER($E83)),SUMIF((OFFSET(CÁLCULO!$AM$15:$AW$15,$E83,0,OFFSET(ORÇAMENTO!$D$15,CRONO!$E83,0))),"="&amp;CRONO!AA$12,OFFSET(CÁLCULO!$AB$15:$AL$15,$E83,0,OFFSET(ORÇAMENTO!$D$15,CRONO!$E83,0)))+IF(AND($E85&lt;&gt;"",$E85&lt;&gt;0),SUMIF(CÁLCULO!$AM$15:$AW$165,"="&amp;CRONO!AA$12,CÁLCULO!$AB$15:$AL$165)/(ORÇAMENTO!$X$15-CÁLCULO.TotalAdmLocal)*CRONO!$E85,0),AA84*$R83),SUMIF(OFFSET($R85,1,0,$Q83-2),($L83+1)&amp;"$",OFFSET(AA85,1,0,$Q83-2)))</f>
        <v>0</v>
      </c>
      <c r="AB85" s="223">
        <f ca="1">IF($Q83=2,IF(AND(ACOMPANHAMENTO="PLE",ISNUMBER($E83)),SUMIF((OFFSET(CÁLCULO!$AM$15:$AW$15,$E83,0,OFFSET(ORÇAMENTO!$D$15,CRONO!$E83,0))),"="&amp;CRONO!AB$12,OFFSET(CÁLCULO!$AB$15:$AL$15,$E83,0,OFFSET(ORÇAMENTO!$D$15,CRONO!$E83,0)))+IF(AND($E85&lt;&gt;"",$E85&lt;&gt;0),SUMIF(CÁLCULO!$AM$15:$AW$165,"="&amp;CRONO!AB$12,CÁLCULO!$AB$15:$AL$165)/(ORÇAMENTO!$X$15-CÁLCULO.TotalAdmLocal)*CRONO!$E85,0),AB84*$R83),SUMIF(OFFSET($R85,1,0,$Q83-2),($L83+1)&amp;"$",OFFSET(AB85,1,0,$Q83-2)))</f>
        <v>0</v>
      </c>
      <c r="AC85" s="223">
        <f ca="1">IF($Q83=2,IF(AND(ACOMPANHAMENTO="PLE",ISNUMBER($E83)),SUMIF((OFFSET(CÁLCULO!$AM$15:$AW$15,$E83,0,OFFSET(ORÇAMENTO!$D$15,CRONO!$E83,0))),"="&amp;CRONO!AC$12,OFFSET(CÁLCULO!$AB$15:$AL$15,$E83,0,OFFSET(ORÇAMENTO!$D$15,CRONO!$E83,0)))+IF(AND($E85&lt;&gt;"",$E85&lt;&gt;0),SUMIF(CÁLCULO!$AM$15:$AW$165,"="&amp;CRONO!AC$12,CÁLCULO!$AB$15:$AL$165)/(ORÇAMENTO!$X$15-CÁLCULO.TotalAdmLocal)*CRONO!$E85,0),AC84*$R83),SUMIF(OFFSET($R85,1,0,$Q83-2),($L83+1)&amp;"$",OFFSET(AC85,1,0,$Q83-2)))</f>
        <v>0</v>
      </c>
      <c r="AD85" s="223">
        <f ca="1">IF($Q83=2,IF(AND(ACOMPANHAMENTO="PLE",ISNUMBER($E83)),SUMIF((OFFSET(CÁLCULO!$AM$15:$AW$15,$E83,0,OFFSET(ORÇAMENTO!$D$15,CRONO!$E83,0))),"="&amp;CRONO!AD$12,OFFSET(CÁLCULO!$AB$15:$AL$15,$E83,0,OFFSET(ORÇAMENTO!$D$15,CRONO!$E83,0)))+IF(AND($E85&lt;&gt;"",$E85&lt;&gt;0),SUMIF(CÁLCULO!$AM$15:$AW$165,"="&amp;CRONO!AD$12,CÁLCULO!$AB$15:$AL$165)/(ORÇAMENTO!$X$15-CÁLCULO.TotalAdmLocal)*CRONO!$E85,0),AD84*$R83),SUMIF(OFFSET($R85,1,0,$Q83-2),($L83+1)&amp;"$",OFFSET(AD85,1,0,$Q83-2)))</f>
        <v>0</v>
      </c>
      <c r="AE85" s="228">
        <f ca="1">IF($Q83=2,IF(AND(ACOMPANHAMENTO="PLE",ISNUMBER($E83)),SUMIF((OFFSET(CÁLCULO!$AM$15:$AW$15,$E83,0,OFFSET(ORÇAMENTO!$D$15,CRONO!$E83,0))),"="&amp;CRONO!AE$12,OFFSET(CÁLCULO!$AB$15:$AL$15,$E83,0,OFFSET(ORÇAMENTO!$D$15,CRONO!$E83,0)))+IF(AND($E85&lt;&gt;"",$E85&lt;&gt;0),SUMIF(CÁLCULO!$AM$15:$AW$165,"="&amp;CRONO!AE$12,CÁLCULO!$AB$15:$AL$165)/(ORÇAMENTO!$X$15-CÁLCULO.TotalAdmLocal)*CRONO!$E85,0),AE84*$R83),SUMIF(OFFSET($R85,1,0,$Q83-2),($L83+1)&amp;"$",OFFSET(AE85,1,0,$Q83-2)))</f>
        <v>0</v>
      </c>
    </row>
    <row r="86" spans="1:32" x14ac:dyDescent="0.2">
      <c r="A86" s="204">
        <f t="shared" ref="A86" ca="1" si="171">OFFSET(A86,-3,0)+1</f>
        <v>25</v>
      </c>
      <c r="B86" s="204">
        <f ca="1">IF($Q86&lt;&gt;2,0,IF($R86=0,1,IF(E87&gt;0,OFFSET(QCI!$M$13,SUBSTITUTE(E87,".",""),0),OFFSET(ORÇAMENTO!$AA$15,CRONO!$E86,0))/$R86))</f>
        <v>1</v>
      </c>
      <c r="C86" s="204">
        <f ca="1">IF($Q86&lt;&gt;2,0,IF($R86=0,1,IF(E87&gt;0,OFFSET(QCI!$N$13,SUBSTITUTE(E87,".",""),0),OFFSET(ORÇAMENTO!$AB$15,CRONO!$E86,0))/$R86))</f>
        <v>0</v>
      </c>
      <c r="D86" s="207">
        <f ca="1">IF(AND($Q86=2,ACOMPANHAMENTO="BM"),D87,D88/$R86)</f>
        <v>0</v>
      </c>
      <c r="E86" s="204">
        <f ca="1">IF(A86&lt;=ORÇAMENTO.MáximoListaCrono,MATCH(A86,ORÇAMENTO.ListaCrono,0),NA())</f>
        <v>108</v>
      </c>
      <c r="F86" s="204" t="str">
        <f t="shared" ref="F86" ca="1" si="172">IF(AND($E87&lt;&gt;-1,$R86&gt;0),"F","")</f>
        <v>F</v>
      </c>
      <c r="G86" s="208">
        <f ca="1">IF(OR(R86=0,R86=""),"Linha",IF(AND(OR(ACOMPANHAMENTO="PLE",$Q86&lt;&gt;2),$E87=0),"Linha",1-SUM(T86:AF86)))</f>
        <v>0</v>
      </c>
      <c r="H86" s="209" t="str">
        <f ca="1">IF($E87=0,OFFSET(ORÇAMENTO!O$15,$E86,0),IF($E87&lt;&gt;-1,OFFSET(QCI!$D$13,$E87,0),""))</f>
        <v>8.1.</v>
      </c>
      <c r="I86" s="210" t="str">
        <f ca="1">IF($E87=0,OFFSET(ORÇAMENTO!R$15,$E86,0),IF($E87&lt;&gt;-1,OFFSET(QCI!$G$13,$E87,0),""))</f>
        <v xml:space="preserve">PINTURA </v>
      </c>
      <c r="J86" s="210"/>
      <c r="K86" s="210"/>
      <c r="L86" s="211">
        <f ca="1">IF($E87=0,OFFSET(ORÇAMENTO!C$15,$E86,0),1)</f>
        <v>2</v>
      </c>
      <c r="M86" s="212">
        <f ca="1">IF($E87=-1,0,IF(M$13&lt;=$L86,IF(ISERROR(MATCH(M$13,OFFSET($L86,1,0,ROW($L$113)-ROW($L86)-1),0)),ROW($L$113)-ROW($L86)-1,MATCH(M$13,OFFSET($L86,1,0,ROW($L$113)-ROW($L86)-1),0)-1),0))</f>
        <v>8</v>
      </c>
      <c r="N86" s="212">
        <f ca="1">IF($E87=-1,0,IF(N$13&lt;=$L86,IF(ISERROR(MATCH(N$13,OFFSET($L86,1,0,ROW($L$113)-ROW($L86)-1),0)),ROW($L$113)-ROW($L86)-1,MATCH(N$13,OFFSET($L86,1,0,ROW($L$113)-ROW($L86)-1),0)-1),0))</f>
        <v>2</v>
      </c>
      <c r="O86" s="212">
        <f ca="1">IF($E87=-1,0,IF(O$13&lt;=$L86,IF(ISERROR(MATCH(O$13,OFFSET($L86,1,0,ROW($L$113)-ROW($L86)-1),0)),ROW($L$113)-ROW($L86)-1,MATCH(O$13,OFFSET($L86,1,0,ROW($L$113)-ROW($L86)-1),0)-1),0))</f>
        <v>0</v>
      </c>
      <c r="P86" s="212">
        <f ca="1">IF($E87=-1,0,IF(P$13&lt;=$L86,IF(ISERROR(MATCH(P$13,OFFSET($L86,1,0,ROW($L$113)-ROW($L86)-1),0)),ROW($L$113)-ROW($L86)-1,MATCH(P$13,OFFSET($L86,1,0,ROW($L$113)-ROW($L86)-1),0)-1),0))</f>
        <v>0</v>
      </c>
      <c r="Q86" s="212">
        <f t="shared" ref="Q86" ca="1" si="173">MIN(OFFSET(L86,0,1,,L86))</f>
        <v>2</v>
      </c>
      <c r="R86" s="213">
        <f ca="1">IF($E87=0,OFFSET(ORÇAMENTO!X$15,$E86,0),IF($E87&lt;&gt;-1,OFFSET(QCI!$O$13,$E87,0),""))</f>
        <v>6632.6</v>
      </c>
      <c r="S86" s="214" t="s">
        <v>270</v>
      </c>
      <c r="T86" s="215">
        <f t="shared" ref="T86:AE86" ca="1" si="174">IF(AND($Q86=2,ACOMPANHAMENTO="BM"),T87,T88/$R86)</f>
        <v>0</v>
      </c>
      <c r="U86" s="207">
        <f t="shared" ca="1" si="174"/>
        <v>0</v>
      </c>
      <c r="V86" s="207">
        <f t="shared" ca="1" si="174"/>
        <v>1</v>
      </c>
      <c r="W86" s="207">
        <f t="shared" ca="1" si="174"/>
        <v>0</v>
      </c>
      <c r="X86" s="207">
        <f t="shared" ca="1" si="174"/>
        <v>0</v>
      </c>
      <c r="Y86" s="207">
        <f t="shared" ca="1" si="174"/>
        <v>0</v>
      </c>
      <c r="Z86" s="207">
        <f t="shared" ca="1" si="174"/>
        <v>0</v>
      </c>
      <c r="AA86" s="207">
        <f t="shared" ca="1" si="174"/>
        <v>0</v>
      </c>
      <c r="AB86" s="207">
        <f t="shared" ca="1" si="174"/>
        <v>0</v>
      </c>
      <c r="AC86" s="207">
        <f t="shared" ca="1" si="174"/>
        <v>0</v>
      </c>
      <c r="AD86" s="207">
        <f t="shared" ca="1" si="174"/>
        <v>0</v>
      </c>
      <c r="AE86" s="216">
        <f t="shared" ca="1" si="174"/>
        <v>0</v>
      </c>
    </row>
    <row r="87" spans="1:32" ht="12.75" customHeight="1" x14ac:dyDescent="0.2">
      <c r="D87" s="569"/>
      <c r="E87" s="204">
        <f ca="1">IF(ISERROR(E86),IF(1+COUNTIF($L$13:OFFSET(L86,-1,0),1)&lt;=MAX(QCI!$D$13:$D$24),1+COUNTIF($L$13:OFFSET(L86,-1,0),1),-1),0)</f>
        <v>0</v>
      </c>
      <c r="F87" s="204" t="str">
        <f t="shared" ref="F87" ca="1" si="175">IF(AND($E87&lt;&gt;-1,$R86&gt;0),"F","")</f>
        <v>F</v>
      </c>
      <c r="G87" s="217" t="str">
        <f ca="1">IF(OR(R86=0,R86=""),"vazia",IF(AND(OR(ACOMPANHAMENTO="PLE",$Q86&lt;&gt;2),$E87=0),"calculada","--&gt;"))</f>
        <v>--&gt;</v>
      </c>
      <c r="H87" s="218"/>
      <c r="I87" s="219" t="str">
        <f t="shared" ref="I87" ca="1" si="176">IF(AND(G86&lt;&gt;0,ISNUMBER(G86)),"PREENCHA ESTA LINHA --&gt;","")</f>
        <v/>
      </c>
      <c r="J87" s="219"/>
      <c r="K87" s="219"/>
      <c r="L87" s="220"/>
      <c r="M87" s="220"/>
      <c r="N87" s="220"/>
      <c r="O87" s="220"/>
      <c r="P87" s="220"/>
      <c r="Q87" s="220"/>
      <c r="R87" s="221"/>
      <c r="S87" s="222"/>
      <c r="T87" s="570"/>
      <c r="U87" s="569"/>
      <c r="V87" s="569">
        <v>1</v>
      </c>
      <c r="W87" s="569"/>
      <c r="X87" s="569"/>
      <c r="Y87" s="569"/>
      <c r="Z87" s="569"/>
      <c r="AA87" s="569"/>
      <c r="AB87" s="569"/>
      <c r="AC87" s="569"/>
      <c r="AD87" s="569"/>
      <c r="AE87" s="571"/>
      <c r="AF87" s="533"/>
    </row>
    <row r="88" spans="1:32" ht="0.2" hidden="1" customHeight="1" x14ac:dyDescent="0.2">
      <c r="D88" s="223">
        <f ca="1">IF($Q86=2,IF(AND(ACOMPANHAMENTO="PLE",ISNUMBER($E86)),SUMIF((OFFSET(CÁLCULO!$AM$15:$AW$15,$E86,0,OFFSET(ORÇAMENTO!$D$15,CRONO!$E86,0))),"="&amp;CRONO!D$12,OFFSET(CÁLCULO!$AB$15:$AL$15,$E86,0,OFFSET(ORÇAMENTO!$D$15,CRONO!$E86,0)))+IF(AND($E88&lt;&gt;"",$E88&lt;&gt;0),SUMIF(CÁLCULO!$AM$15:$AW$165,"="&amp;CRONO!D$12,CÁLCULO!$AB$15:$AL$165)/(ORÇAMENTO!$X$15-CÁLCULO.TotalAdmLocal)*CRONO!$E88,0),D87*$R86),SUMIF(OFFSET($R88,1,0,$Q86-2),($L86+1)&amp;"$",OFFSET(D88,1,0,$Q86-2)))</f>
        <v>0</v>
      </c>
      <c r="E88" s="204" t="str">
        <f ca="1">IF(OR($Q86&lt;&gt;2,AUTOEVENTO&lt;&gt;"manual",$E87&gt;0),"",SUMIF(OFFSET(CÁLCULO!$M$15,CRONO!$E86,0,OFFSET(ORÇAMENTO!$D$15,CRONO!$E86,0)),1,OFFSET(ORÇAMENTO!$X$15,CRONO!$E86,0,OFFSET(ORÇAMENTO!$D$15,CRONO!$E86,0))))</f>
        <v/>
      </c>
      <c r="G88" s="224"/>
      <c r="R88" s="225" t="str">
        <f t="shared" ref="R88" ca="1" si="177">L86&amp;"$"</f>
        <v>2$</v>
      </c>
      <c r="S88" s="226"/>
      <c r="T88" s="227">
        <f ca="1">IF($Q86=2,IF(AND(ACOMPANHAMENTO="PLE",ISNUMBER($E86)),SUMIF((OFFSET(CÁLCULO!$AM$15:$AW$15,$E86,0,OFFSET(ORÇAMENTO!$D$15,CRONO!$E86,0))),"&lt;="&amp;CRONO!T$12,OFFSET(CÁLCULO!$AB$15:$AL$15,$E86,0,OFFSET(ORÇAMENTO!$D$15,CRONO!$E86,0)))+IF(AND($E88&lt;&gt;"",$E88&lt;&gt;0),SUMIF(CÁLCULO!$AM$15:$AW$165,"&lt;="&amp;CRONO!T$12,CÁLCULO!$AB$15:$AL$165)/(ORÇAMENTO!$X$15-CÁLCULO.TotalAdmLocal)*CRONO!$E88,0),T87*$R86),SUMIF(OFFSET($R88,1,0,$Q86-2),($L86+1)&amp;"$",OFFSET(T88,1,0,$Q86-2)))</f>
        <v>0</v>
      </c>
      <c r="U88" s="223">
        <f ca="1">IF($Q86=2,IF(AND(ACOMPANHAMENTO="PLE",ISNUMBER($E86)),SUMIF((OFFSET(CÁLCULO!$AM$15:$AW$15,$E86,0,OFFSET(ORÇAMENTO!$D$15,CRONO!$E86,0))),"="&amp;CRONO!U$12,OFFSET(CÁLCULO!$AB$15:$AL$15,$E86,0,OFFSET(ORÇAMENTO!$D$15,CRONO!$E86,0)))+IF(AND($E88&lt;&gt;"",$E88&lt;&gt;0),SUMIF(CÁLCULO!$AM$15:$AW$165,"="&amp;CRONO!U$12,CÁLCULO!$AB$15:$AL$165)/(ORÇAMENTO!$X$15-CÁLCULO.TotalAdmLocal)*CRONO!$E88,0),U87*$R86),SUMIF(OFFSET($R88,1,0,$Q86-2),($L86+1)&amp;"$",OFFSET(U88,1,0,$Q86-2)))</f>
        <v>0</v>
      </c>
      <c r="V88" s="223">
        <f ca="1">IF($Q86=2,IF(AND(ACOMPANHAMENTO="PLE",ISNUMBER($E86)),SUMIF((OFFSET(CÁLCULO!$AM$15:$AW$15,$E86,0,OFFSET(ORÇAMENTO!$D$15,CRONO!$E86,0))),"="&amp;CRONO!V$12,OFFSET(CÁLCULO!$AB$15:$AL$15,$E86,0,OFFSET(ORÇAMENTO!$D$15,CRONO!$E86,0)))+IF(AND($E88&lt;&gt;"",$E88&lt;&gt;0),SUMIF(CÁLCULO!$AM$15:$AW$165,"="&amp;CRONO!V$12,CÁLCULO!$AB$15:$AL$165)/(ORÇAMENTO!$X$15-CÁLCULO.TotalAdmLocal)*CRONO!$E88,0),V87*$R86),SUMIF(OFFSET($R88,1,0,$Q86-2),($L86+1)&amp;"$",OFFSET(V88,1,0,$Q86-2)))</f>
        <v>6632.6</v>
      </c>
      <c r="W88" s="223">
        <f ca="1">IF($Q86=2,IF(AND(ACOMPANHAMENTO="PLE",ISNUMBER($E86)),SUMIF((OFFSET(CÁLCULO!$AM$15:$AW$15,$E86,0,OFFSET(ORÇAMENTO!$D$15,CRONO!$E86,0))),"="&amp;CRONO!W$12,OFFSET(CÁLCULO!$AB$15:$AL$15,$E86,0,OFFSET(ORÇAMENTO!$D$15,CRONO!$E86,0)))+IF(AND($E88&lt;&gt;"",$E88&lt;&gt;0),SUMIF(CÁLCULO!$AM$15:$AW$165,"="&amp;CRONO!W$12,CÁLCULO!$AB$15:$AL$165)/(ORÇAMENTO!$X$15-CÁLCULO.TotalAdmLocal)*CRONO!$E88,0),W87*$R86),SUMIF(OFFSET($R88,1,0,$Q86-2),($L86+1)&amp;"$",OFFSET(W88,1,0,$Q86-2)))</f>
        <v>0</v>
      </c>
      <c r="X88" s="223">
        <f ca="1">IF($Q86=2,IF(AND(ACOMPANHAMENTO="PLE",ISNUMBER($E86)),SUMIF((OFFSET(CÁLCULO!$AM$15:$AW$15,$E86,0,OFFSET(ORÇAMENTO!$D$15,CRONO!$E86,0))),"="&amp;CRONO!X$12,OFFSET(CÁLCULO!$AB$15:$AL$15,$E86,0,OFFSET(ORÇAMENTO!$D$15,CRONO!$E86,0)))+IF(AND($E88&lt;&gt;"",$E88&lt;&gt;0),SUMIF(CÁLCULO!$AM$15:$AW$165,"="&amp;CRONO!X$12,CÁLCULO!$AB$15:$AL$165)/(ORÇAMENTO!$X$15-CÁLCULO.TotalAdmLocal)*CRONO!$E88,0),X87*$R86),SUMIF(OFFSET($R88,1,0,$Q86-2),($L86+1)&amp;"$",OFFSET(X88,1,0,$Q86-2)))</f>
        <v>0</v>
      </c>
      <c r="Y88" s="223">
        <f ca="1">IF($Q86=2,IF(AND(ACOMPANHAMENTO="PLE",ISNUMBER($E86)),SUMIF((OFFSET(CÁLCULO!$AM$15:$AW$15,$E86,0,OFFSET(ORÇAMENTO!$D$15,CRONO!$E86,0))),"="&amp;CRONO!Y$12,OFFSET(CÁLCULO!$AB$15:$AL$15,$E86,0,OFFSET(ORÇAMENTO!$D$15,CRONO!$E86,0)))+IF(AND($E88&lt;&gt;"",$E88&lt;&gt;0),SUMIF(CÁLCULO!$AM$15:$AW$165,"="&amp;CRONO!Y$12,CÁLCULO!$AB$15:$AL$165)/(ORÇAMENTO!$X$15-CÁLCULO.TotalAdmLocal)*CRONO!$E88,0),Y87*$R86),SUMIF(OFFSET($R88,1,0,$Q86-2),($L86+1)&amp;"$",OFFSET(Y88,1,0,$Q86-2)))</f>
        <v>0</v>
      </c>
      <c r="Z88" s="223">
        <f ca="1">IF($Q86=2,IF(AND(ACOMPANHAMENTO="PLE",ISNUMBER($E86)),SUMIF((OFFSET(CÁLCULO!$AM$15:$AW$15,$E86,0,OFFSET(ORÇAMENTO!$D$15,CRONO!$E86,0))),"="&amp;CRONO!Z$12,OFFSET(CÁLCULO!$AB$15:$AL$15,$E86,0,OFFSET(ORÇAMENTO!$D$15,CRONO!$E86,0)))+IF(AND($E88&lt;&gt;"",$E88&lt;&gt;0),SUMIF(CÁLCULO!$AM$15:$AW$165,"="&amp;CRONO!Z$12,CÁLCULO!$AB$15:$AL$165)/(ORÇAMENTO!$X$15-CÁLCULO.TotalAdmLocal)*CRONO!$E88,0),Z87*$R86),SUMIF(OFFSET($R88,1,0,$Q86-2),($L86+1)&amp;"$",OFFSET(Z88,1,0,$Q86-2)))</f>
        <v>0</v>
      </c>
      <c r="AA88" s="223">
        <f ca="1">IF($Q86=2,IF(AND(ACOMPANHAMENTO="PLE",ISNUMBER($E86)),SUMIF((OFFSET(CÁLCULO!$AM$15:$AW$15,$E86,0,OFFSET(ORÇAMENTO!$D$15,CRONO!$E86,0))),"="&amp;CRONO!AA$12,OFFSET(CÁLCULO!$AB$15:$AL$15,$E86,0,OFFSET(ORÇAMENTO!$D$15,CRONO!$E86,0)))+IF(AND($E88&lt;&gt;"",$E88&lt;&gt;0),SUMIF(CÁLCULO!$AM$15:$AW$165,"="&amp;CRONO!AA$12,CÁLCULO!$AB$15:$AL$165)/(ORÇAMENTO!$X$15-CÁLCULO.TotalAdmLocal)*CRONO!$E88,0),AA87*$R86),SUMIF(OFFSET($R88,1,0,$Q86-2),($L86+1)&amp;"$",OFFSET(AA88,1,0,$Q86-2)))</f>
        <v>0</v>
      </c>
      <c r="AB88" s="223">
        <f ca="1">IF($Q86=2,IF(AND(ACOMPANHAMENTO="PLE",ISNUMBER($E86)),SUMIF((OFFSET(CÁLCULO!$AM$15:$AW$15,$E86,0,OFFSET(ORÇAMENTO!$D$15,CRONO!$E86,0))),"="&amp;CRONO!AB$12,OFFSET(CÁLCULO!$AB$15:$AL$15,$E86,0,OFFSET(ORÇAMENTO!$D$15,CRONO!$E86,0)))+IF(AND($E88&lt;&gt;"",$E88&lt;&gt;0),SUMIF(CÁLCULO!$AM$15:$AW$165,"="&amp;CRONO!AB$12,CÁLCULO!$AB$15:$AL$165)/(ORÇAMENTO!$X$15-CÁLCULO.TotalAdmLocal)*CRONO!$E88,0),AB87*$R86),SUMIF(OFFSET($R88,1,0,$Q86-2),($L86+1)&amp;"$",OFFSET(AB88,1,0,$Q86-2)))</f>
        <v>0</v>
      </c>
      <c r="AC88" s="223">
        <f ca="1">IF($Q86=2,IF(AND(ACOMPANHAMENTO="PLE",ISNUMBER($E86)),SUMIF((OFFSET(CÁLCULO!$AM$15:$AW$15,$E86,0,OFFSET(ORÇAMENTO!$D$15,CRONO!$E86,0))),"="&amp;CRONO!AC$12,OFFSET(CÁLCULO!$AB$15:$AL$15,$E86,0,OFFSET(ORÇAMENTO!$D$15,CRONO!$E86,0)))+IF(AND($E88&lt;&gt;"",$E88&lt;&gt;0),SUMIF(CÁLCULO!$AM$15:$AW$165,"="&amp;CRONO!AC$12,CÁLCULO!$AB$15:$AL$165)/(ORÇAMENTO!$X$15-CÁLCULO.TotalAdmLocal)*CRONO!$E88,0),AC87*$R86),SUMIF(OFFSET($R88,1,0,$Q86-2),($L86+1)&amp;"$",OFFSET(AC88,1,0,$Q86-2)))</f>
        <v>0</v>
      </c>
      <c r="AD88" s="223">
        <f ca="1">IF($Q86=2,IF(AND(ACOMPANHAMENTO="PLE",ISNUMBER($E86)),SUMIF((OFFSET(CÁLCULO!$AM$15:$AW$15,$E86,0,OFFSET(ORÇAMENTO!$D$15,CRONO!$E86,0))),"="&amp;CRONO!AD$12,OFFSET(CÁLCULO!$AB$15:$AL$15,$E86,0,OFFSET(ORÇAMENTO!$D$15,CRONO!$E86,0)))+IF(AND($E88&lt;&gt;"",$E88&lt;&gt;0),SUMIF(CÁLCULO!$AM$15:$AW$165,"="&amp;CRONO!AD$12,CÁLCULO!$AB$15:$AL$165)/(ORÇAMENTO!$X$15-CÁLCULO.TotalAdmLocal)*CRONO!$E88,0),AD87*$R86),SUMIF(OFFSET($R88,1,0,$Q86-2),($L86+1)&amp;"$",OFFSET(AD88,1,0,$Q86-2)))</f>
        <v>0</v>
      </c>
      <c r="AE88" s="228">
        <f ca="1">IF($Q86=2,IF(AND(ACOMPANHAMENTO="PLE",ISNUMBER($E86)),SUMIF((OFFSET(CÁLCULO!$AM$15:$AW$15,$E86,0,OFFSET(ORÇAMENTO!$D$15,CRONO!$E86,0))),"="&amp;CRONO!AE$12,OFFSET(CÁLCULO!$AB$15:$AL$15,$E86,0,OFFSET(ORÇAMENTO!$D$15,CRONO!$E86,0)))+IF(AND($E88&lt;&gt;"",$E88&lt;&gt;0),SUMIF(CÁLCULO!$AM$15:$AW$165,"="&amp;CRONO!AE$12,CÁLCULO!$AB$15:$AL$165)/(ORÇAMENTO!$X$15-CÁLCULO.TotalAdmLocal)*CRONO!$E88,0),AE87*$R86),SUMIF(OFFSET($R88,1,0,$Q86-2),($L86+1)&amp;"$",OFFSET(AE88,1,0,$Q86-2)))</f>
        <v>0</v>
      </c>
    </row>
    <row r="89" spans="1:32" x14ac:dyDescent="0.2">
      <c r="A89" s="204">
        <f t="shared" ref="A89" ca="1" si="178">OFFSET(A89,-3,0)+1</f>
        <v>26</v>
      </c>
      <c r="B89" s="204">
        <f ca="1">IF($Q89&lt;&gt;2,0,IF($R89=0,1,IF(E90&gt;0,OFFSET(QCI!$M$13,SUBSTITUTE(E90,".",""),0),OFFSET(ORÇAMENTO!$AA$15,CRONO!$E89,0))/$R89))</f>
        <v>1</v>
      </c>
      <c r="C89" s="204">
        <f ca="1">IF($Q89&lt;&gt;2,0,IF($R89=0,1,IF(E90&gt;0,OFFSET(QCI!$N$13,SUBSTITUTE(E90,".",""),0),OFFSET(ORÇAMENTO!$AB$15,CRONO!$E89,0))/$R89))</f>
        <v>0</v>
      </c>
      <c r="D89" s="207">
        <f ca="1">IF(AND($Q89=2,ACOMPANHAMENTO="BM"),D90,D91/$R89)</f>
        <v>0</v>
      </c>
      <c r="E89" s="204">
        <f ca="1">IF(A89&lt;=ORÇAMENTO.MáximoListaCrono,MATCH(A89,ORÇAMENTO.ListaCrono,0),NA())</f>
        <v>112</v>
      </c>
      <c r="F89" s="204" t="str">
        <f t="shared" ref="F89" ca="1" si="179">IF(AND($E90&lt;&gt;-1,$R89&gt;0),"F","")</f>
        <v>F</v>
      </c>
      <c r="G89" s="208">
        <f ca="1">IF(OR(R89=0,R89=""),"Linha",IF(AND(OR(ACOMPANHAMENTO="PLE",$Q89&lt;&gt;2),$E90=0),"Linha",1-SUM(T89:AF89)))</f>
        <v>0</v>
      </c>
      <c r="H89" s="209" t="str">
        <f ca="1">IF($E90=0,OFFSET(ORÇAMENTO!O$15,$E89,0),IF($E90&lt;&gt;-1,OFFSET(QCI!$D$13,$E90,0),""))</f>
        <v>8.2.</v>
      </c>
      <c r="I89" s="210" t="str">
        <f ca="1">IF($E90=0,OFFSET(ORÇAMENTO!R$15,$E89,0),IF($E90&lt;&gt;-1,OFFSET(QCI!$G$13,$E90,0),""))</f>
        <v>ACESSÓRIOS  E ACESSIBILIDADE</v>
      </c>
      <c r="J89" s="210"/>
      <c r="K89" s="210"/>
      <c r="L89" s="211">
        <f ca="1">IF($E90=0,OFFSET(ORÇAMENTO!C$15,$E89,0),1)</f>
        <v>2</v>
      </c>
      <c r="M89" s="212">
        <f ca="1">IF($E90=-1,0,IF(M$13&lt;=$L89,IF(ISERROR(MATCH(M$13,OFFSET($L89,1,0,ROW($L$113)-ROW($L89)-1),0)),ROW($L$113)-ROW($L89)-1,MATCH(M$13,OFFSET($L89,1,0,ROW($L$113)-ROW($L89)-1),0)-1),0))</f>
        <v>5</v>
      </c>
      <c r="N89" s="212">
        <f ca="1">IF($E90=-1,0,IF(N$13&lt;=$L89,IF(ISERROR(MATCH(N$13,OFFSET($L89,1,0,ROW($L$113)-ROW($L89)-1),0)),ROW($L$113)-ROW($L89)-1,MATCH(N$13,OFFSET($L89,1,0,ROW($L$113)-ROW($L89)-1),0)-1),0))</f>
        <v>2</v>
      </c>
      <c r="O89" s="212">
        <f ca="1">IF($E90=-1,0,IF(O$13&lt;=$L89,IF(ISERROR(MATCH(O$13,OFFSET($L89,1,0,ROW($L$113)-ROW($L89)-1),0)),ROW($L$113)-ROW($L89)-1,MATCH(O$13,OFFSET($L89,1,0,ROW($L$113)-ROW($L89)-1),0)-1),0))</f>
        <v>0</v>
      </c>
      <c r="P89" s="212">
        <f ca="1">IF($E90=-1,0,IF(P$13&lt;=$L89,IF(ISERROR(MATCH(P$13,OFFSET($L89,1,0,ROW($L$113)-ROW($L89)-1),0)),ROW($L$113)-ROW($L89)-1,MATCH(P$13,OFFSET($L89,1,0,ROW($L$113)-ROW($L89)-1),0)-1),0))</f>
        <v>0</v>
      </c>
      <c r="Q89" s="212">
        <f t="shared" ref="Q89" ca="1" si="180">MIN(OFFSET(L89,0,1,,L89))</f>
        <v>2</v>
      </c>
      <c r="R89" s="213">
        <f ca="1">IF($E90=0,OFFSET(ORÇAMENTO!X$15,$E89,0),IF($E90&lt;&gt;-1,OFFSET(QCI!$O$13,$E90,0),""))</f>
        <v>18855.72</v>
      </c>
      <c r="S89" s="214" t="s">
        <v>270</v>
      </c>
      <c r="T89" s="215">
        <f t="shared" ref="T89:AE89" ca="1" si="181">IF(AND($Q89=2,ACOMPANHAMENTO="BM"),T90,T91/$R89)</f>
        <v>0</v>
      </c>
      <c r="U89" s="207">
        <f t="shared" ca="1" si="181"/>
        <v>0.5</v>
      </c>
      <c r="V89" s="207">
        <f t="shared" ca="1" si="181"/>
        <v>0.5</v>
      </c>
      <c r="W89" s="207">
        <f t="shared" ca="1" si="181"/>
        <v>0</v>
      </c>
      <c r="X89" s="207">
        <f t="shared" ca="1" si="181"/>
        <v>0</v>
      </c>
      <c r="Y89" s="207">
        <f t="shared" ca="1" si="181"/>
        <v>0</v>
      </c>
      <c r="Z89" s="207">
        <f t="shared" ca="1" si="181"/>
        <v>0</v>
      </c>
      <c r="AA89" s="207">
        <f t="shared" ca="1" si="181"/>
        <v>0</v>
      </c>
      <c r="AB89" s="207">
        <f t="shared" ca="1" si="181"/>
        <v>0</v>
      </c>
      <c r="AC89" s="207">
        <f t="shared" ca="1" si="181"/>
        <v>0</v>
      </c>
      <c r="AD89" s="207">
        <f t="shared" ca="1" si="181"/>
        <v>0</v>
      </c>
      <c r="AE89" s="216">
        <f t="shared" ca="1" si="181"/>
        <v>0</v>
      </c>
    </row>
    <row r="90" spans="1:32" ht="12.75" customHeight="1" x14ac:dyDescent="0.2">
      <c r="D90" s="569"/>
      <c r="E90" s="204">
        <f ca="1">IF(ISERROR(E89),IF(1+COUNTIF($L$13:OFFSET(L89,-1,0),1)&lt;=MAX(QCI!$D$13:$D$24),1+COUNTIF($L$13:OFFSET(L89,-1,0),1),-1),0)</f>
        <v>0</v>
      </c>
      <c r="F90" s="204" t="str">
        <f t="shared" ref="F90" ca="1" si="182">IF(AND($E90&lt;&gt;-1,$R89&gt;0),"F","")</f>
        <v>F</v>
      </c>
      <c r="G90" s="217" t="str">
        <f ca="1">IF(OR(R89=0,R89=""),"vazia",IF(AND(OR(ACOMPANHAMENTO="PLE",$Q89&lt;&gt;2),$E90=0),"calculada","--&gt;"))</f>
        <v>--&gt;</v>
      </c>
      <c r="H90" s="218"/>
      <c r="I90" s="219" t="str">
        <f t="shared" ref="I90" ca="1" si="183">IF(AND(G89&lt;&gt;0,ISNUMBER(G89)),"PREENCHA ESTA LINHA --&gt;","")</f>
        <v/>
      </c>
      <c r="J90" s="219"/>
      <c r="K90" s="219"/>
      <c r="L90" s="220"/>
      <c r="M90" s="220"/>
      <c r="N90" s="220"/>
      <c r="O90" s="220"/>
      <c r="P90" s="220"/>
      <c r="Q90" s="220"/>
      <c r="R90" s="221"/>
      <c r="S90" s="222"/>
      <c r="T90" s="570"/>
      <c r="U90" s="569">
        <v>0.5</v>
      </c>
      <c r="V90" s="569">
        <v>0.5</v>
      </c>
      <c r="W90" s="569"/>
      <c r="X90" s="569"/>
      <c r="Y90" s="569"/>
      <c r="Z90" s="569"/>
      <c r="AA90" s="569"/>
      <c r="AB90" s="569"/>
      <c r="AC90" s="569"/>
      <c r="AD90" s="569"/>
      <c r="AE90" s="571"/>
      <c r="AF90" s="533"/>
    </row>
    <row r="91" spans="1:32" ht="0.2" hidden="1" customHeight="1" x14ac:dyDescent="0.2">
      <c r="D91" s="223">
        <f ca="1">IF($Q89=2,IF(AND(ACOMPANHAMENTO="PLE",ISNUMBER($E89)),SUMIF((OFFSET(CÁLCULO!$AM$15:$AW$15,$E89,0,OFFSET(ORÇAMENTO!$D$15,CRONO!$E89,0))),"="&amp;CRONO!D$12,OFFSET(CÁLCULO!$AB$15:$AL$15,$E89,0,OFFSET(ORÇAMENTO!$D$15,CRONO!$E89,0)))+IF(AND($E91&lt;&gt;"",$E91&lt;&gt;0),SUMIF(CÁLCULO!$AM$15:$AW$165,"="&amp;CRONO!D$12,CÁLCULO!$AB$15:$AL$165)/(ORÇAMENTO!$X$15-CÁLCULO.TotalAdmLocal)*CRONO!$E91,0),D90*$R89),SUMIF(OFFSET($R91,1,0,$Q89-2),($L89+1)&amp;"$",OFFSET(D91,1,0,$Q89-2)))</f>
        <v>0</v>
      </c>
      <c r="E91" s="204" t="str">
        <f ca="1">IF(OR($Q89&lt;&gt;2,AUTOEVENTO&lt;&gt;"manual",$E90&gt;0),"",SUMIF(OFFSET(CÁLCULO!$M$15,CRONO!$E89,0,OFFSET(ORÇAMENTO!$D$15,CRONO!$E89,0)),1,OFFSET(ORÇAMENTO!$X$15,CRONO!$E89,0,OFFSET(ORÇAMENTO!$D$15,CRONO!$E89,0))))</f>
        <v/>
      </c>
      <c r="G91" s="224"/>
      <c r="R91" s="225" t="str">
        <f t="shared" ref="R91" ca="1" si="184">L89&amp;"$"</f>
        <v>2$</v>
      </c>
      <c r="S91" s="226"/>
      <c r="T91" s="227">
        <f ca="1">IF($Q89=2,IF(AND(ACOMPANHAMENTO="PLE",ISNUMBER($E89)),SUMIF((OFFSET(CÁLCULO!$AM$15:$AW$15,$E89,0,OFFSET(ORÇAMENTO!$D$15,CRONO!$E89,0))),"&lt;="&amp;CRONO!T$12,OFFSET(CÁLCULO!$AB$15:$AL$15,$E89,0,OFFSET(ORÇAMENTO!$D$15,CRONO!$E89,0)))+IF(AND($E91&lt;&gt;"",$E91&lt;&gt;0),SUMIF(CÁLCULO!$AM$15:$AW$165,"&lt;="&amp;CRONO!T$12,CÁLCULO!$AB$15:$AL$165)/(ORÇAMENTO!$X$15-CÁLCULO.TotalAdmLocal)*CRONO!$E91,0),T90*$R89),SUMIF(OFFSET($R91,1,0,$Q89-2),($L89+1)&amp;"$",OFFSET(T91,1,0,$Q89-2)))</f>
        <v>0</v>
      </c>
      <c r="U91" s="223">
        <f ca="1">IF($Q89=2,IF(AND(ACOMPANHAMENTO="PLE",ISNUMBER($E89)),SUMIF((OFFSET(CÁLCULO!$AM$15:$AW$15,$E89,0,OFFSET(ORÇAMENTO!$D$15,CRONO!$E89,0))),"="&amp;CRONO!U$12,OFFSET(CÁLCULO!$AB$15:$AL$15,$E89,0,OFFSET(ORÇAMENTO!$D$15,CRONO!$E89,0)))+IF(AND($E91&lt;&gt;"",$E91&lt;&gt;0),SUMIF(CÁLCULO!$AM$15:$AW$165,"="&amp;CRONO!U$12,CÁLCULO!$AB$15:$AL$165)/(ORÇAMENTO!$X$15-CÁLCULO.TotalAdmLocal)*CRONO!$E91,0),U90*$R89),SUMIF(OFFSET($R91,1,0,$Q89-2),($L89+1)&amp;"$",OFFSET(U91,1,0,$Q89-2)))</f>
        <v>9427.86</v>
      </c>
      <c r="V91" s="223">
        <f ca="1">IF($Q89=2,IF(AND(ACOMPANHAMENTO="PLE",ISNUMBER($E89)),SUMIF((OFFSET(CÁLCULO!$AM$15:$AW$15,$E89,0,OFFSET(ORÇAMENTO!$D$15,CRONO!$E89,0))),"="&amp;CRONO!V$12,OFFSET(CÁLCULO!$AB$15:$AL$15,$E89,0,OFFSET(ORÇAMENTO!$D$15,CRONO!$E89,0)))+IF(AND($E91&lt;&gt;"",$E91&lt;&gt;0),SUMIF(CÁLCULO!$AM$15:$AW$165,"="&amp;CRONO!V$12,CÁLCULO!$AB$15:$AL$165)/(ORÇAMENTO!$X$15-CÁLCULO.TotalAdmLocal)*CRONO!$E91,0),V90*$R89),SUMIF(OFFSET($R91,1,0,$Q89-2),($L89+1)&amp;"$",OFFSET(V91,1,0,$Q89-2)))</f>
        <v>9427.86</v>
      </c>
      <c r="W91" s="223">
        <f ca="1">IF($Q89=2,IF(AND(ACOMPANHAMENTO="PLE",ISNUMBER($E89)),SUMIF((OFFSET(CÁLCULO!$AM$15:$AW$15,$E89,0,OFFSET(ORÇAMENTO!$D$15,CRONO!$E89,0))),"="&amp;CRONO!W$12,OFFSET(CÁLCULO!$AB$15:$AL$15,$E89,0,OFFSET(ORÇAMENTO!$D$15,CRONO!$E89,0)))+IF(AND($E91&lt;&gt;"",$E91&lt;&gt;0),SUMIF(CÁLCULO!$AM$15:$AW$165,"="&amp;CRONO!W$12,CÁLCULO!$AB$15:$AL$165)/(ORÇAMENTO!$X$15-CÁLCULO.TotalAdmLocal)*CRONO!$E91,0),W90*$R89),SUMIF(OFFSET($R91,1,0,$Q89-2),($L89+1)&amp;"$",OFFSET(W91,1,0,$Q89-2)))</f>
        <v>0</v>
      </c>
      <c r="X91" s="223">
        <f ca="1">IF($Q89=2,IF(AND(ACOMPANHAMENTO="PLE",ISNUMBER($E89)),SUMIF((OFFSET(CÁLCULO!$AM$15:$AW$15,$E89,0,OFFSET(ORÇAMENTO!$D$15,CRONO!$E89,0))),"="&amp;CRONO!X$12,OFFSET(CÁLCULO!$AB$15:$AL$15,$E89,0,OFFSET(ORÇAMENTO!$D$15,CRONO!$E89,0)))+IF(AND($E91&lt;&gt;"",$E91&lt;&gt;0),SUMIF(CÁLCULO!$AM$15:$AW$165,"="&amp;CRONO!X$12,CÁLCULO!$AB$15:$AL$165)/(ORÇAMENTO!$X$15-CÁLCULO.TotalAdmLocal)*CRONO!$E91,0),X90*$R89),SUMIF(OFFSET($R91,1,0,$Q89-2),($L89+1)&amp;"$",OFFSET(X91,1,0,$Q89-2)))</f>
        <v>0</v>
      </c>
      <c r="Y91" s="223">
        <f ca="1">IF($Q89=2,IF(AND(ACOMPANHAMENTO="PLE",ISNUMBER($E89)),SUMIF((OFFSET(CÁLCULO!$AM$15:$AW$15,$E89,0,OFFSET(ORÇAMENTO!$D$15,CRONO!$E89,0))),"="&amp;CRONO!Y$12,OFFSET(CÁLCULO!$AB$15:$AL$15,$E89,0,OFFSET(ORÇAMENTO!$D$15,CRONO!$E89,0)))+IF(AND($E91&lt;&gt;"",$E91&lt;&gt;0),SUMIF(CÁLCULO!$AM$15:$AW$165,"="&amp;CRONO!Y$12,CÁLCULO!$AB$15:$AL$165)/(ORÇAMENTO!$X$15-CÁLCULO.TotalAdmLocal)*CRONO!$E91,0),Y90*$R89),SUMIF(OFFSET($R91,1,0,$Q89-2),($L89+1)&amp;"$",OFFSET(Y91,1,0,$Q89-2)))</f>
        <v>0</v>
      </c>
      <c r="Z91" s="223">
        <f ca="1">IF($Q89=2,IF(AND(ACOMPANHAMENTO="PLE",ISNUMBER($E89)),SUMIF((OFFSET(CÁLCULO!$AM$15:$AW$15,$E89,0,OFFSET(ORÇAMENTO!$D$15,CRONO!$E89,0))),"="&amp;CRONO!Z$12,OFFSET(CÁLCULO!$AB$15:$AL$15,$E89,0,OFFSET(ORÇAMENTO!$D$15,CRONO!$E89,0)))+IF(AND($E91&lt;&gt;"",$E91&lt;&gt;0),SUMIF(CÁLCULO!$AM$15:$AW$165,"="&amp;CRONO!Z$12,CÁLCULO!$AB$15:$AL$165)/(ORÇAMENTO!$X$15-CÁLCULO.TotalAdmLocal)*CRONO!$E91,0),Z90*$R89),SUMIF(OFFSET($R91,1,0,$Q89-2),($L89+1)&amp;"$",OFFSET(Z91,1,0,$Q89-2)))</f>
        <v>0</v>
      </c>
      <c r="AA91" s="223">
        <f ca="1">IF($Q89=2,IF(AND(ACOMPANHAMENTO="PLE",ISNUMBER($E89)),SUMIF((OFFSET(CÁLCULO!$AM$15:$AW$15,$E89,0,OFFSET(ORÇAMENTO!$D$15,CRONO!$E89,0))),"="&amp;CRONO!AA$12,OFFSET(CÁLCULO!$AB$15:$AL$15,$E89,0,OFFSET(ORÇAMENTO!$D$15,CRONO!$E89,0)))+IF(AND($E91&lt;&gt;"",$E91&lt;&gt;0),SUMIF(CÁLCULO!$AM$15:$AW$165,"="&amp;CRONO!AA$12,CÁLCULO!$AB$15:$AL$165)/(ORÇAMENTO!$X$15-CÁLCULO.TotalAdmLocal)*CRONO!$E91,0),AA90*$R89),SUMIF(OFFSET($R91,1,0,$Q89-2),($L89+1)&amp;"$",OFFSET(AA91,1,0,$Q89-2)))</f>
        <v>0</v>
      </c>
      <c r="AB91" s="223">
        <f ca="1">IF($Q89=2,IF(AND(ACOMPANHAMENTO="PLE",ISNUMBER($E89)),SUMIF((OFFSET(CÁLCULO!$AM$15:$AW$15,$E89,0,OFFSET(ORÇAMENTO!$D$15,CRONO!$E89,0))),"="&amp;CRONO!AB$12,OFFSET(CÁLCULO!$AB$15:$AL$15,$E89,0,OFFSET(ORÇAMENTO!$D$15,CRONO!$E89,0)))+IF(AND($E91&lt;&gt;"",$E91&lt;&gt;0),SUMIF(CÁLCULO!$AM$15:$AW$165,"="&amp;CRONO!AB$12,CÁLCULO!$AB$15:$AL$165)/(ORÇAMENTO!$X$15-CÁLCULO.TotalAdmLocal)*CRONO!$E91,0),AB90*$R89),SUMIF(OFFSET($R91,1,0,$Q89-2),($L89+1)&amp;"$",OFFSET(AB91,1,0,$Q89-2)))</f>
        <v>0</v>
      </c>
      <c r="AC91" s="223">
        <f ca="1">IF($Q89=2,IF(AND(ACOMPANHAMENTO="PLE",ISNUMBER($E89)),SUMIF((OFFSET(CÁLCULO!$AM$15:$AW$15,$E89,0,OFFSET(ORÇAMENTO!$D$15,CRONO!$E89,0))),"="&amp;CRONO!AC$12,OFFSET(CÁLCULO!$AB$15:$AL$15,$E89,0,OFFSET(ORÇAMENTO!$D$15,CRONO!$E89,0)))+IF(AND($E91&lt;&gt;"",$E91&lt;&gt;0),SUMIF(CÁLCULO!$AM$15:$AW$165,"="&amp;CRONO!AC$12,CÁLCULO!$AB$15:$AL$165)/(ORÇAMENTO!$X$15-CÁLCULO.TotalAdmLocal)*CRONO!$E91,0),AC90*$R89),SUMIF(OFFSET($R91,1,0,$Q89-2),($L89+1)&amp;"$",OFFSET(AC91,1,0,$Q89-2)))</f>
        <v>0</v>
      </c>
      <c r="AD91" s="223">
        <f ca="1">IF($Q89=2,IF(AND(ACOMPANHAMENTO="PLE",ISNUMBER($E89)),SUMIF((OFFSET(CÁLCULO!$AM$15:$AW$15,$E89,0,OFFSET(ORÇAMENTO!$D$15,CRONO!$E89,0))),"="&amp;CRONO!AD$12,OFFSET(CÁLCULO!$AB$15:$AL$15,$E89,0,OFFSET(ORÇAMENTO!$D$15,CRONO!$E89,0)))+IF(AND($E91&lt;&gt;"",$E91&lt;&gt;0),SUMIF(CÁLCULO!$AM$15:$AW$165,"="&amp;CRONO!AD$12,CÁLCULO!$AB$15:$AL$165)/(ORÇAMENTO!$X$15-CÁLCULO.TotalAdmLocal)*CRONO!$E91,0),AD90*$R89),SUMIF(OFFSET($R91,1,0,$Q89-2),($L89+1)&amp;"$",OFFSET(AD91,1,0,$Q89-2)))</f>
        <v>0</v>
      </c>
      <c r="AE91" s="228">
        <f ca="1">IF($Q89=2,IF(AND(ACOMPANHAMENTO="PLE",ISNUMBER($E89)),SUMIF((OFFSET(CÁLCULO!$AM$15:$AW$15,$E89,0,OFFSET(ORÇAMENTO!$D$15,CRONO!$E89,0))),"="&amp;CRONO!AE$12,OFFSET(CÁLCULO!$AB$15:$AL$15,$E89,0,OFFSET(ORÇAMENTO!$D$15,CRONO!$E89,0)))+IF(AND($E91&lt;&gt;"",$E91&lt;&gt;0),SUMIF(CÁLCULO!$AM$15:$AW$165,"="&amp;CRONO!AE$12,CÁLCULO!$AB$15:$AL$165)/(ORÇAMENTO!$X$15-CÁLCULO.TotalAdmLocal)*CRONO!$E91,0),AE90*$R89),SUMIF(OFFSET($R91,1,0,$Q89-2),($L89+1)&amp;"$",OFFSET(AE91,1,0,$Q89-2)))</f>
        <v>0</v>
      </c>
    </row>
    <row r="92" spans="1:32" x14ac:dyDescent="0.2">
      <c r="A92" s="204">
        <f t="shared" ref="A92" ca="1" si="185">OFFSET(A92,-3,0)+1</f>
        <v>27</v>
      </c>
      <c r="B92" s="204">
        <f ca="1">IF($Q92&lt;&gt;2,0,IF($R92=0,1,IF(E93&gt;0,OFFSET(QCI!$M$13,SUBSTITUTE(E93,".",""),0),OFFSET(ORÇAMENTO!$AA$15,CRONO!$E92,0))/$R92))</f>
        <v>0.99999999999999989</v>
      </c>
      <c r="C92" s="204">
        <f ca="1">IF($Q92&lt;&gt;2,0,IF($R92=0,1,IF(E93&gt;0,OFFSET(QCI!$N$13,SUBSTITUTE(E93,".",""),0),OFFSET(ORÇAMENTO!$AB$15,CRONO!$E92,0))/$R92))</f>
        <v>0</v>
      </c>
      <c r="D92" s="207">
        <f ca="1">IF(AND($Q92=2,ACOMPANHAMENTO="BM"),D93,D94/$R92)</f>
        <v>0</v>
      </c>
      <c r="E92" s="204">
        <f ca="1">IF(A92&lt;=ORÇAMENTO.MáximoListaCrono,MATCH(A92,ORÇAMENTO.ListaCrono,0),NA())</f>
        <v>127</v>
      </c>
      <c r="F92" s="204" t="str">
        <f t="shared" ref="F92" ca="1" si="186">IF(AND($E93&lt;&gt;-1,$R92&gt;0),"F","")</f>
        <v>F</v>
      </c>
      <c r="G92" s="208">
        <f ca="1">IF(OR(R92=0,R92=""),"Linha",IF(AND(OR(ACOMPANHAMENTO="PLE",$Q92&lt;&gt;2),$E93=0),"Linha",1-SUM(T92:AF92)))</f>
        <v>0</v>
      </c>
      <c r="H92" s="209" t="str">
        <f ca="1">IF($E93=0,OFFSET(ORÇAMENTO!O$15,$E92,0),IF($E93&lt;&gt;-1,OFFSET(QCI!$D$13,$E93,0),""))</f>
        <v>8.3.</v>
      </c>
      <c r="I92" s="210" t="str">
        <f ca="1">IF($E93=0,OFFSET(ORÇAMENTO!R$15,$E92,0),IF($E93&lt;&gt;-1,OFFSET(QCI!$G$13,$E93,0),""))</f>
        <v xml:space="preserve">MARMORARIA </v>
      </c>
      <c r="J92" s="210"/>
      <c r="K92" s="210"/>
      <c r="L92" s="211">
        <f ca="1">IF($E93=0,OFFSET(ORÇAMENTO!C$15,$E92,0),1)</f>
        <v>2</v>
      </c>
      <c r="M92" s="212">
        <f ca="1">IF($E93=-1,0,IF(M$13&lt;=$L92,IF(ISERROR(MATCH(M$13,OFFSET($L92,1,0,ROW($L$113)-ROW($L92)-1),0)),ROW($L$113)-ROW($L92)-1,MATCH(M$13,OFFSET($L92,1,0,ROW($L$113)-ROW($L92)-1),0)-1),0))</f>
        <v>2</v>
      </c>
      <c r="N92" s="212">
        <f ca="1">IF($E93=-1,0,IF(N$13&lt;=$L92,IF(ISERROR(MATCH(N$13,OFFSET($L92,1,0,ROW($L$113)-ROW($L92)-1),0)),ROW($L$113)-ROW($L92)-1,MATCH(N$13,OFFSET($L92,1,0,ROW($L$113)-ROW($L92)-1),0)-1),0))</f>
        <v>5</v>
      </c>
      <c r="O92" s="212">
        <f ca="1">IF($E93=-1,0,IF(O$13&lt;=$L92,IF(ISERROR(MATCH(O$13,OFFSET($L92,1,0,ROW($L$113)-ROW($L92)-1),0)),ROW($L$113)-ROW($L92)-1,MATCH(O$13,OFFSET($L92,1,0,ROW($L$113)-ROW($L92)-1),0)-1),0))</f>
        <v>0</v>
      </c>
      <c r="P92" s="212">
        <f ca="1">IF($E93=-1,0,IF(P$13&lt;=$L92,IF(ISERROR(MATCH(P$13,OFFSET($L92,1,0,ROW($L$113)-ROW($L92)-1),0)),ROW($L$113)-ROW($L92)-1,MATCH(P$13,OFFSET($L92,1,0,ROW($L$113)-ROW($L92)-1),0)-1),0))</f>
        <v>0</v>
      </c>
      <c r="Q92" s="212">
        <f t="shared" ref="Q92" ca="1" si="187">MIN(OFFSET(L92,0,1,,L92))</f>
        <v>2</v>
      </c>
      <c r="R92" s="213">
        <f ca="1">IF($E93=0,OFFSET(ORÇAMENTO!X$15,$E92,0),IF($E93&lt;&gt;-1,OFFSET(QCI!$O$13,$E93,0),""))</f>
        <v>7325.72</v>
      </c>
      <c r="S92" s="214" t="s">
        <v>270</v>
      </c>
      <c r="T92" s="215">
        <f t="shared" ref="T92:AE92" ca="1" si="188">IF(AND($Q92=2,ACOMPANHAMENTO="BM"),T93,T94/$R92)</f>
        <v>0</v>
      </c>
      <c r="U92" s="207">
        <f t="shared" ca="1" si="188"/>
        <v>0.2</v>
      </c>
      <c r="V92" s="207">
        <f t="shared" ca="1" si="188"/>
        <v>0.8</v>
      </c>
      <c r="W92" s="207">
        <f t="shared" ca="1" si="188"/>
        <v>0</v>
      </c>
      <c r="X92" s="207">
        <f t="shared" ca="1" si="188"/>
        <v>0</v>
      </c>
      <c r="Y92" s="207">
        <f t="shared" ca="1" si="188"/>
        <v>0</v>
      </c>
      <c r="Z92" s="207">
        <f t="shared" ca="1" si="188"/>
        <v>0</v>
      </c>
      <c r="AA92" s="207">
        <f t="shared" ca="1" si="188"/>
        <v>0</v>
      </c>
      <c r="AB92" s="207">
        <f t="shared" ca="1" si="188"/>
        <v>0</v>
      </c>
      <c r="AC92" s="207">
        <f t="shared" ca="1" si="188"/>
        <v>0</v>
      </c>
      <c r="AD92" s="207">
        <f t="shared" ca="1" si="188"/>
        <v>0</v>
      </c>
      <c r="AE92" s="216">
        <f t="shared" ca="1" si="188"/>
        <v>0</v>
      </c>
    </row>
    <row r="93" spans="1:32" ht="12.75" customHeight="1" x14ac:dyDescent="0.2">
      <c r="D93" s="569"/>
      <c r="E93" s="204">
        <f ca="1">IF(ISERROR(E92),IF(1+COUNTIF($L$13:OFFSET(L92,-1,0),1)&lt;=MAX(QCI!$D$13:$D$24),1+COUNTIF($L$13:OFFSET(L92,-1,0),1),-1),0)</f>
        <v>0</v>
      </c>
      <c r="F93" s="204" t="str">
        <f t="shared" ref="F93" ca="1" si="189">IF(AND($E93&lt;&gt;-1,$R92&gt;0),"F","")</f>
        <v>F</v>
      </c>
      <c r="G93" s="217" t="str">
        <f ca="1">IF(OR(R92=0,R92=""),"vazia",IF(AND(OR(ACOMPANHAMENTO="PLE",$Q92&lt;&gt;2),$E93=0),"calculada","--&gt;"))</f>
        <v>--&gt;</v>
      </c>
      <c r="H93" s="218"/>
      <c r="I93" s="219" t="str">
        <f t="shared" ref="I93" ca="1" si="190">IF(AND(G92&lt;&gt;0,ISNUMBER(G92)),"PREENCHA ESTA LINHA --&gt;","")</f>
        <v/>
      </c>
      <c r="J93" s="219"/>
      <c r="K93" s="219"/>
      <c r="L93" s="220"/>
      <c r="M93" s="220"/>
      <c r="N93" s="220"/>
      <c r="O93" s="220"/>
      <c r="P93" s="220"/>
      <c r="Q93" s="220"/>
      <c r="R93" s="221"/>
      <c r="S93" s="222"/>
      <c r="T93" s="570"/>
      <c r="U93" s="569">
        <v>0.2</v>
      </c>
      <c r="V93" s="569">
        <v>0.8</v>
      </c>
      <c r="W93" s="569"/>
      <c r="X93" s="569"/>
      <c r="Y93" s="569"/>
      <c r="Z93" s="569"/>
      <c r="AA93" s="569"/>
      <c r="AB93" s="569"/>
      <c r="AC93" s="569"/>
      <c r="AD93" s="569"/>
      <c r="AE93" s="571"/>
      <c r="AF93" s="533"/>
    </row>
    <row r="94" spans="1:32" ht="0.2" hidden="1" customHeight="1" x14ac:dyDescent="0.2">
      <c r="D94" s="223">
        <f ca="1">IF($Q92=2,IF(AND(ACOMPANHAMENTO="PLE",ISNUMBER($E92)),SUMIF((OFFSET(CÁLCULO!$AM$15:$AW$15,$E92,0,OFFSET(ORÇAMENTO!$D$15,CRONO!$E92,0))),"="&amp;CRONO!D$12,OFFSET(CÁLCULO!$AB$15:$AL$15,$E92,0,OFFSET(ORÇAMENTO!$D$15,CRONO!$E92,0)))+IF(AND($E94&lt;&gt;"",$E94&lt;&gt;0),SUMIF(CÁLCULO!$AM$15:$AW$165,"="&amp;CRONO!D$12,CÁLCULO!$AB$15:$AL$165)/(ORÇAMENTO!$X$15-CÁLCULO.TotalAdmLocal)*CRONO!$E94,0),D93*$R92),SUMIF(OFFSET($R94,1,0,$Q92-2),($L92+1)&amp;"$",OFFSET(D94,1,0,$Q92-2)))</f>
        <v>0</v>
      </c>
      <c r="E94" s="204" t="str">
        <f ca="1">IF(OR($Q92&lt;&gt;2,AUTOEVENTO&lt;&gt;"manual",$E93&gt;0),"",SUMIF(OFFSET(CÁLCULO!$M$15,CRONO!$E92,0,OFFSET(ORÇAMENTO!$D$15,CRONO!$E92,0)),1,OFFSET(ORÇAMENTO!$X$15,CRONO!$E92,0,OFFSET(ORÇAMENTO!$D$15,CRONO!$E92,0))))</f>
        <v/>
      </c>
      <c r="G94" s="224"/>
      <c r="R94" s="225" t="str">
        <f t="shared" ref="R94" ca="1" si="191">L92&amp;"$"</f>
        <v>2$</v>
      </c>
      <c r="S94" s="226"/>
      <c r="T94" s="227">
        <f ca="1">IF($Q92=2,IF(AND(ACOMPANHAMENTO="PLE",ISNUMBER($E92)),SUMIF((OFFSET(CÁLCULO!$AM$15:$AW$15,$E92,0,OFFSET(ORÇAMENTO!$D$15,CRONO!$E92,0))),"&lt;="&amp;CRONO!T$12,OFFSET(CÁLCULO!$AB$15:$AL$15,$E92,0,OFFSET(ORÇAMENTO!$D$15,CRONO!$E92,0)))+IF(AND($E94&lt;&gt;"",$E94&lt;&gt;0),SUMIF(CÁLCULO!$AM$15:$AW$165,"&lt;="&amp;CRONO!T$12,CÁLCULO!$AB$15:$AL$165)/(ORÇAMENTO!$X$15-CÁLCULO.TotalAdmLocal)*CRONO!$E94,0),T93*$R92),SUMIF(OFFSET($R94,1,0,$Q92-2),($L92+1)&amp;"$",OFFSET(T94,1,0,$Q92-2)))</f>
        <v>0</v>
      </c>
      <c r="U94" s="223">
        <f ca="1">IF($Q92=2,IF(AND(ACOMPANHAMENTO="PLE",ISNUMBER($E92)),SUMIF((OFFSET(CÁLCULO!$AM$15:$AW$15,$E92,0,OFFSET(ORÇAMENTO!$D$15,CRONO!$E92,0))),"="&amp;CRONO!U$12,OFFSET(CÁLCULO!$AB$15:$AL$15,$E92,0,OFFSET(ORÇAMENTO!$D$15,CRONO!$E92,0)))+IF(AND($E94&lt;&gt;"",$E94&lt;&gt;0),SUMIF(CÁLCULO!$AM$15:$AW$165,"="&amp;CRONO!U$12,CÁLCULO!$AB$15:$AL$165)/(ORÇAMENTO!$X$15-CÁLCULO.TotalAdmLocal)*CRONO!$E94,0),U93*$R92),SUMIF(OFFSET($R94,1,0,$Q92-2),($L92+1)&amp;"$",OFFSET(U94,1,0,$Q92-2)))</f>
        <v>1465.1440000000002</v>
      </c>
      <c r="V94" s="223">
        <f ca="1">IF($Q92=2,IF(AND(ACOMPANHAMENTO="PLE",ISNUMBER($E92)),SUMIF((OFFSET(CÁLCULO!$AM$15:$AW$15,$E92,0,OFFSET(ORÇAMENTO!$D$15,CRONO!$E92,0))),"="&amp;CRONO!V$12,OFFSET(CÁLCULO!$AB$15:$AL$15,$E92,0,OFFSET(ORÇAMENTO!$D$15,CRONO!$E92,0)))+IF(AND($E94&lt;&gt;"",$E94&lt;&gt;0),SUMIF(CÁLCULO!$AM$15:$AW$165,"="&amp;CRONO!V$12,CÁLCULO!$AB$15:$AL$165)/(ORÇAMENTO!$X$15-CÁLCULO.TotalAdmLocal)*CRONO!$E94,0),V93*$R92),SUMIF(OFFSET($R94,1,0,$Q92-2),($L92+1)&amp;"$",OFFSET(V94,1,0,$Q92-2)))</f>
        <v>5860.5760000000009</v>
      </c>
      <c r="W94" s="223">
        <f ca="1">IF($Q92=2,IF(AND(ACOMPANHAMENTO="PLE",ISNUMBER($E92)),SUMIF((OFFSET(CÁLCULO!$AM$15:$AW$15,$E92,0,OFFSET(ORÇAMENTO!$D$15,CRONO!$E92,0))),"="&amp;CRONO!W$12,OFFSET(CÁLCULO!$AB$15:$AL$15,$E92,0,OFFSET(ORÇAMENTO!$D$15,CRONO!$E92,0)))+IF(AND($E94&lt;&gt;"",$E94&lt;&gt;0),SUMIF(CÁLCULO!$AM$15:$AW$165,"="&amp;CRONO!W$12,CÁLCULO!$AB$15:$AL$165)/(ORÇAMENTO!$X$15-CÁLCULO.TotalAdmLocal)*CRONO!$E94,0),W93*$R92),SUMIF(OFFSET($R94,1,0,$Q92-2),($L92+1)&amp;"$",OFFSET(W94,1,0,$Q92-2)))</f>
        <v>0</v>
      </c>
      <c r="X94" s="223">
        <f ca="1">IF($Q92=2,IF(AND(ACOMPANHAMENTO="PLE",ISNUMBER($E92)),SUMIF((OFFSET(CÁLCULO!$AM$15:$AW$15,$E92,0,OFFSET(ORÇAMENTO!$D$15,CRONO!$E92,0))),"="&amp;CRONO!X$12,OFFSET(CÁLCULO!$AB$15:$AL$15,$E92,0,OFFSET(ORÇAMENTO!$D$15,CRONO!$E92,0)))+IF(AND($E94&lt;&gt;"",$E94&lt;&gt;0),SUMIF(CÁLCULO!$AM$15:$AW$165,"="&amp;CRONO!X$12,CÁLCULO!$AB$15:$AL$165)/(ORÇAMENTO!$X$15-CÁLCULO.TotalAdmLocal)*CRONO!$E94,0),X93*$R92),SUMIF(OFFSET($R94,1,0,$Q92-2),($L92+1)&amp;"$",OFFSET(X94,1,0,$Q92-2)))</f>
        <v>0</v>
      </c>
      <c r="Y94" s="223">
        <f ca="1">IF($Q92=2,IF(AND(ACOMPANHAMENTO="PLE",ISNUMBER($E92)),SUMIF((OFFSET(CÁLCULO!$AM$15:$AW$15,$E92,0,OFFSET(ORÇAMENTO!$D$15,CRONO!$E92,0))),"="&amp;CRONO!Y$12,OFFSET(CÁLCULO!$AB$15:$AL$15,$E92,0,OFFSET(ORÇAMENTO!$D$15,CRONO!$E92,0)))+IF(AND($E94&lt;&gt;"",$E94&lt;&gt;0),SUMIF(CÁLCULO!$AM$15:$AW$165,"="&amp;CRONO!Y$12,CÁLCULO!$AB$15:$AL$165)/(ORÇAMENTO!$X$15-CÁLCULO.TotalAdmLocal)*CRONO!$E94,0),Y93*$R92),SUMIF(OFFSET($R94,1,0,$Q92-2),($L92+1)&amp;"$",OFFSET(Y94,1,0,$Q92-2)))</f>
        <v>0</v>
      </c>
      <c r="Z94" s="223">
        <f ca="1">IF($Q92=2,IF(AND(ACOMPANHAMENTO="PLE",ISNUMBER($E92)),SUMIF((OFFSET(CÁLCULO!$AM$15:$AW$15,$E92,0,OFFSET(ORÇAMENTO!$D$15,CRONO!$E92,0))),"="&amp;CRONO!Z$12,OFFSET(CÁLCULO!$AB$15:$AL$15,$E92,0,OFFSET(ORÇAMENTO!$D$15,CRONO!$E92,0)))+IF(AND($E94&lt;&gt;"",$E94&lt;&gt;0),SUMIF(CÁLCULO!$AM$15:$AW$165,"="&amp;CRONO!Z$12,CÁLCULO!$AB$15:$AL$165)/(ORÇAMENTO!$X$15-CÁLCULO.TotalAdmLocal)*CRONO!$E94,0),Z93*$R92),SUMIF(OFFSET($R94,1,0,$Q92-2),($L92+1)&amp;"$",OFFSET(Z94,1,0,$Q92-2)))</f>
        <v>0</v>
      </c>
      <c r="AA94" s="223">
        <f ca="1">IF($Q92=2,IF(AND(ACOMPANHAMENTO="PLE",ISNUMBER($E92)),SUMIF((OFFSET(CÁLCULO!$AM$15:$AW$15,$E92,0,OFFSET(ORÇAMENTO!$D$15,CRONO!$E92,0))),"="&amp;CRONO!AA$12,OFFSET(CÁLCULO!$AB$15:$AL$15,$E92,0,OFFSET(ORÇAMENTO!$D$15,CRONO!$E92,0)))+IF(AND($E94&lt;&gt;"",$E94&lt;&gt;0),SUMIF(CÁLCULO!$AM$15:$AW$165,"="&amp;CRONO!AA$12,CÁLCULO!$AB$15:$AL$165)/(ORÇAMENTO!$X$15-CÁLCULO.TotalAdmLocal)*CRONO!$E94,0),AA93*$R92),SUMIF(OFFSET($R94,1,0,$Q92-2),($L92+1)&amp;"$",OFFSET(AA94,1,0,$Q92-2)))</f>
        <v>0</v>
      </c>
      <c r="AB94" s="223">
        <f ca="1">IF($Q92=2,IF(AND(ACOMPANHAMENTO="PLE",ISNUMBER($E92)),SUMIF((OFFSET(CÁLCULO!$AM$15:$AW$15,$E92,0,OFFSET(ORÇAMENTO!$D$15,CRONO!$E92,0))),"="&amp;CRONO!AB$12,OFFSET(CÁLCULO!$AB$15:$AL$15,$E92,0,OFFSET(ORÇAMENTO!$D$15,CRONO!$E92,0)))+IF(AND($E94&lt;&gt;"",$E94&lt;&gt;0),SUMIF(CÁLCULO!$AM$15:$AW$165,"="&amp;CRONO!AB$12,CÁLCULO!$AB$15:$AL$165)/(ORÇAMENTO!$X$15-CÁLCULO.TotalAdmLocal)*CRONO!$E94,0),AB93*$R92),SUMIF(OFFSET($R94,1,0,$Q92-2),($L92+1)&amp;"$",OFFSET(AB94,1,0,$Q92-2)))</f>
        <v>0</v>
      </c>
      <c r="AC94" s="223">
        <f ca="1">IF($Q92=2,IF(AND(ACOMPANHAMENTO="PLE",ISNUMBER($E92)),SUMIF((OFFSET(CÁLCULO!$AM$15:$AW$15,$E92,0,OFFSET(ORÇAMENTO!$D$15,CRONO!$E92,0))),"="&amp;CRONO!AC$12,OFFSET(CÁLCULO!$AB$15:$AL$15,$E92,0,OFFSET(ORÇAMENTO!$D$15,CRONO!$E92,0)))+IF(AND($E94&lt;&gt;"",$E94&lt;&gt;0),SUMIF(CÁLCULO!$AM$15:$AW$165,"="&amp;CRONO!AC$12,CÁLCULO!$AB$15:$AL$165)/(ORÇAMENTO!$X$15-CÁLCULO.TotalAdmLocal)*CRONO!$E94,0),AC93*$R92),SUMIF(OFFSET($R94,1,0,$Q92-2),($L92+1)&amp;"$",OFFSET(AC94,1,0,$Q92-2)))</f>
        <v>0</v>
      </c>
      <c r="AD94" s="223">
        <f ca="1">IF($Q92=2,IF(AND(ACOMPANHAMENTO="PLE",ISNUMBER($E92)),SUMIF((OFFSET(CÁLCULO!$AM$15:$AW$15,$E92,0,OFFSET(ORÇAMENTO!$D$15,CRONO!$E92,0))),"="&amp;CRONO!AD$12,OFFSET(CÁLCULO!$AB$15:$AL$15,$E92,0,OFFSET(ORÇAMENTO!$D$15,CRONO!$E92,0)))+IF(AND($E94&lt;&gt;"",$E94&lt;&gt;0),SUMIF(CÁLCULO!$AM$15:$AW$165,"="&amp;CRONO!AD$12,CÁLCULO!$AB$15:$AL$165)/(ORÇAMENTO!$X$15-CÁLCULO.TotalAdmLocal)*CRONO!$E94,0),AD93*$R92),SUMIF(OFFSET($R94,1,0,$Q92-2),($L92+1)&amp;"$",OFFSET(AD94,1,0,$Q92-2)))</f>
        <v>0</v>
      </c>
      <c r="AE94" s="228">
        <f ca="1">IF($Q92=2,IF(AND(ACOMPANHAMENTO="PLE",ISNUMBER($E92)),SUMIF((OFFSET(CÁLCULO!$AM$15:$AW$15,$E92,0,OFFSET(ORÇAMENTO!$D$15,CRONO!$E92,0))),"="&amp;CRONO!AE$12,OFFSET(CÁLCULO!$AB$15:$AL$15,$E92,0,OFFSET(ORÇAMENTO!$D$15,CRONO!$E92,0)))+IF(AND($E94&lt;&gt;"",$E94&lt;&gt;0),SUMIF(CÁLCULO!$AM$15:$AW$165,"="&amp;CRONO!AE$12,CÁLCULO!$AB$15:$AL$165)/(ORÇAMENTO!$X$15-CÁLCULO.TotalAdmLocal)*CRONO!$E94,0),AE93*$R92),SUMIF(OFFSET($R94,1,0,$Q92-2),($L92+1)&amp;"$",OFFSET(AE94,1,0,$Q92-2)))</f>
        <v>0</v>
      </c>
    </row>
    <row r="95" spans="1:32" x14ac:dyDescent="0.2">
      <c r="A95" s="204">
        <f t="shared" ref="A95" ca="1" si="192">OFFSET(A95,-3,0)+1</f>
        <v>28</v>
      </c>
      <c r="B95" s="204">
        <f ca="1">IF($Q95&lt;&gt;2,0,IF($R95=0,1,IF(E96&gt;0,OFFSET(QCI!$M$13,SUBSTITUTE(E96,".",""),0),OFFSET(ORÇAMENTO!$AA$15,CRONO!$E95,0))/$R95))</f>
        <v>0</v>
      </c>
      <c r="C95" s="204">
        <f ca="1">IF($Q95&lt;&gt;2,0,IF($R95=0,1,IF(E96&gt;0,OFFSET(QCI!$N$13,SUBSTITUTE(E96,".",""),0),OFFSET(ORÇAMENTO!$AB$15,CRONO!$E95,0))/$R95))</f>
        <v>0</v>
      </c>
      <c r="D95" s="207">
        <f ca="1">IF(AND($Q95=2,ACOMPANHAMENTO="BM"),D96,D97/$R95)</f>
        <v>0</v>
      </c>
      <c r="E95" s="204">
        <f ca="1">IF(A95&lt;=ORÇAMENTO.MáximoListaCrono,MATCH(A95,ORÇAMENTO.ListaCrono,0),NA())</f>
        <v>130</v>
      </c>
      <c r="F95" s="204" t="str">
        <f t="shared" ref="F95" ca="1" si="193">IF(AND($E96&lt;&gt;-1,$R95&gt;0),"F","")</f>
        <v>F</v>
      </c>
      <c r="G95" s="208" t="str">
        <f ca="1">IF(OR(R95=0,R95=""),"Linha",IF(AND(OR(ACOMPANHAMENTO="PLE",$Q95&lt;&gt;2),$E96=0),"Linha",1-SUM(T95:AF95)))</f>
        <v>Linha</v>
      </c>
      <c r="H95" s="209" t="str">
        <f ca="1">IF($E96=0,OFFSET(ORÇAMENTO!O$15,$E95,0),IF($E96&lt;&gt;-1,OFFSET(QCI!$D$13,$E96,0),""))</f>
        <v>9.</v>
      </c>
      <c r="I95" s="210" t="str">
        <f ca="1">IF($E96=0,OFFSET(ORÇAMENTO!R$15,$E95,0),IF($E96&lt;&gt;-1,OFFSET(QCI!$G$13,$E96,0),""))</f>
        <v>INCENDIO</v>
      </c>
      <c r="J95" s="210"/>
      <c r="K95" s="210"/>
      <c r="L95" s="211">
        <f ca="1">IF($E96=0,OFFSET(ORÇAMENTO!C$15,$E95,0),1)</f>
        <v>1</v>
      </c>
      <c r="M95" s="212">
        <f ca="1">IF($E96=-1,0,IF(M$13&lt;=$L95,IF(ISERROR(MATCH(M$13,OFFSET($L95,1,0,ROW($L$113)-ROW($L95)-1),0)),ROW($L$113)-ROW($L95)-1,MATCH(M$13,OFFSET($L95,1,0,ROW($L$113)-ROW($L95)-1),0)-1),0))</f>
        <v>5</v>
      </c>
      <c r="N95" s="212">
        <f ca="1">IF($E96=-1,0,IF(N$13&lt;=$L95,IF(ISERROR(MATCH(N$13,OFFSET($L95,1,0,ROW($L$113)-ROW($L95)-1),0)),ROW($L$113)-ROW($L95)-1,MATCH(N$13,OFFSET($L95,1,0,ROW($L$113)-ROW($L95)-1),0)-1),0))</f>
        <v>0</v>
      </c>
      <c r="O95" s="212">
        <f ca="1">IF($E96=-1,0,IF(O$13&lt;=$L95,IF(ISERROR(MATCH(O$13,OFFSET($L95,1,0,ROW($L$113)-ROW($L95)-1),0)),ROW($L$113)-ROW($L95)-1,MATCH(O$13,OFFSET($L95,1,0,ROW($L$113)-ROW($L95)-1),0)-1),0))</f>
        <v>0</v>
      </c>
      <c r="P95" s="212">
        <f ca="1">IF($E96=-1,0,IF(P$13&lt;=$L95,IF(ISERROR(MATCH(P$13,OFFSET($L95,1,0,ROW($L$113)-ROW($L95)-1),0)),ROW($L$113)-ROW($L95)-1,MATCH(P$13,OFFSET($L95,1,0,ROW($L$113)-ROW($L95)-1),0)-1),0))</f>
        <v>0</v>
      </c>
      <c r="Q95" s="212">
        <f t="shared" ref="Q95" ca="1" si="194">MIN(OFFSET(L95,0,1,,L95))</f>
        <v>5</v>
      </c>
      <c r="R95" s="213">
        <f ca="1">IF($E96=0,OFFSET(ORÇAMENTO!X$15,$E95,0),IF($E96&lt;&gt;-1,OFFSET(QCI!$O$13,$E96,0),""))</f>
        <v>651.79999999999995</v>
      </c>
      <c r="S95" s="214" t="s">
        <v>270</v>
      </c>
      <c r="T95" s="215">
        <f t="shared" ref="T95:AE95" ca="1" si="195">IF(AND($Q95=2,ACOMPANHAMENTO="BM"),T96,T97/$R95)</f>
        <v>0</v>
      </c>
      <c r="U95" s="207">
        <f t="shared" ca="1" si="195"/>
        <v>0</v>
      </c>
      <c r="V95" s="207">
        <f t="shared" ca="1" si="195"/>
        <v>1</v>
      </c>
      <c r="W95" s="207">
        <f t="shared" ca="1" si="195"/>
        <v>0</v>
      </c>
      <c r="X95" s="207">
        <f t="shared" ca="1" si="195"/>
        <v>0</v>
      </c>
      <c r="Y95" s="207">
        <f t="shared" ca="1" si="195"/>
        <v>0</v>
      </c>
      <c r="Z95" s="207">
        <f t="shared" ca="1" si="195"/>
        <v>0</v>
      </c>
      <c r="AA95" s="207">
        <f t="shared" ca="1" si="195"/>
        <v>0</v>
      </c>
      <c r="AB95" s="207">
        <f t="shared" ca="1" si="195"/>
        <v>0</v>
      </c>
      <c r="AC95" s="207">
        <f t="shared" ca="1" si="195"/>
        <v>0</v>
      </c>
      <c r="AD95" s="207">
        <f t="shared" ca="1" si="195"/>
        <v>0</v>
      </c>
      <c r="AE95" s="216">
        <f t="shared" ca="1" si="195"/>
        <v>0</v>
      </c>
    </row>
    <row r="96" spans="1:32" ht="12.75" customHeight="1" x14ac:dyDescent="0.2">
      <c r="D96" s="569"/>
      <c r="E96" s="204">
        <f ca="1">IF(ISERROR(E95),IF(1+COUNTIF($L$13:OFFSET(L95,-1,0),1)&lt;=MAX(QCI!$D$13:$D$24),1+COUNTIF($L$13:OFFSET(L95,-1,0),1),-1),0)</f>
        <v>0</v>
      </c>
      <c r="F96" s="204" t="str">
        <f t="shared" ref="F96" ca="1" si="196">IF(AND($E96&lt;&gt;-1,$R95&gt;0),"F","")</f>
        <v>F</v>
      </c>
      <c r="G96" s="217" t="str">
        <f ca="1">IF(OR(R95=0,R95=""),"vazia",IF(AND(OR(ACOMPANHAMENTO="PLE",$Q95&lt;&gt;2),$E96=0),"calculada","--&gt;"))</f>
        <v>calculada</v>
      </c>
      <c r="H96" s="218"/>
      <c r="I96" s="219" t="str">
        <f t="shared" ref="I96" ca="1" si="197">IF(AND(G95&lt;&gt;0,ISNUMBER(G95)),"PREENCHA ESTA LINHA --&gt;","")</f>
        <v/>
      </c>
      <c r="J96" s="219"/>
      <c r="K96" s="219"/>
      <c r="L96" s="220"/>
      <c r="M96" s="220"/>
      <c r="N96" s="220"/>
      <c r="O96" s="220"/>
      <c r="P96" s="220"/>
      <c r="Q96" s="220"/>
      <c r="R96" s="221"/>
      <c r="S96" s="222"/>
      <c r="T96" s="570"/>
      <c r="U96" s="569"/>
      <c r="V96" s="569">
        <v>1</v>
      </c>
      <c r="W96" s="569"/>
      <c r="X96" s="569"/>
      <c r="Y96" s="569"/>
      <c r="Z96" s="569"/>
      <c r="AA96" s="569"/>
      <c r="AB96" s="569"/>
      <c r="AC96" s="569"/>
      <c r="AD96" s="569"/>
      <c r="AE96" s="571"/>
      <c r="AF96" s="533"/>
    </row>
    <row r="97" spans="1:32" ht="0.2" hidden="1" customHeight="1" x14ac:dyDescent="0.2">
      <c r="D97" s="223">
        <f ca="1">IF($Q95=2,IF(AND(ACOMPANHAMENTO="PLE",ISNUMBER($E95)),SUMIF((OFFSET(CÁLCULO!$AM$15:$AW$15,$E95,0,OFFSET(ORÇAMENTO!$D$15,CRONO!$E95,0))),"="&amp;CRONO!D$12,OFFSET(CÁLCULO!$AB$15:$AL$15,$E95,0,OFFSET(ORÇAMENTO!$D$15,CRONO!$E95,0)))+IF(AND($E97&lt;&gt;"",$E97&lt;&gt;0),SUMIF(CÁLCULO!$AM$15:$AW$165,"="&amp;CRONO!D$12,CÁLCULO!$AB$15:$AL$165)/(ORÇAMENTO!$X$15-CÁLCULO.TotalAdmLocal)*CRONO!$E97,0),D96*$R95),SUMIF(OFFSET($R97,1,0,$Q95-2),($L95+1)&amp;"$",OFFSET(D97,1,0,$Q95-2)))</f>
        <v>0</v>
      </c>
      <c r="E97" s="204" t="str">
        <f ca="1">IF(OR($Q95&lt;&gt;2,AUTOEVENTO&lt;&gt;"manual",$E96&gt;0),"",SUMIF(OFFSET(CÁLCULO!$M$15,CRONO!$E95,0,OFFSET(ORÇAMENTO!$D$15,CRONO!$E95,0)),1,OFFSET(ORÇAMENTO!$X$15,CRONO!$E95,0,OFFSET(ORÇAMENTO!$D$15,CRONO!$E95,0))))</f>
        <v/>
      </c>
      <c r="G97" s="224"/>
      <c r="R97" s="225" t="str">
        <f t="shared" ref="R97" ca="1" si="198">L95&amp;"$"</f>
        <v>1$</v>
      </c>
      <c r="S97" s="226"/>
      <c r="T97" s="227">
        <f ca="1">IF($Q95=2,IF(AND(ACOMPANHAMENTO="PLE",ISNUMBER($E95)),SUMIF((OFFSET(CÁLCULO!$AM$15:$AW$15,$E95,0,OFFSET(ORÇAMENTO!$D$15,CRONO!$E95,0))),"&lt;="&amp;CRONO!T$12,OFFSET(CÁLCULO!$AB$15:$AL$15,$E95,0,OFFSET(ORÇAMENTO!$D$15,CRONO!$E95,0)))+IF(AND($E97&lt;&gt;"",$E97&lt;&gt;0),SUMIF(CÁLCULO!$AM$15:$AW$165,"&lt;="&amp;CRONO!T$12,CÁLCULO!$AB$15:$AL$165)/(ORÇAMENTO!$X$15-CÁLCULO.TotalAdmLocal)*CRONO!$E97,0),T96*$R95),SUMIF(OFFSET($R97,1,0,$Q95-2),($L95+1)&amp;"$",OFFSET(T97,1,0,$Q95-2)))</f>
        <v>0</v>
      </c>
      <c r="U97" s="223">
        <f ca="1">IF($Q95=2,IF(AND(ACOMPANHAMENTO="PLE",ISNUMBER($E95)),SUMIF((OFFSET(CÁLCULO!$AM$15:$AW$15,$E95,0,OFFSET(ORÇAMENTO!$D$15,CRONO!$E95,0))),"="&amp;CRONO!U$12,OFFSET(CÁLCULO!$AB$15:$AL$15,$E95,0,OFFSET(ORÇAMENTO!$D$15,CRONO!$E95,0)))+IF(AND($E97&lt;&gt;"",$E97&lt;&gt;0),SUMIF(CÁLCULO!$AM$15:$AW$165,"="&amp;CRONO!U$12,CÁLCULO!$AB$15:$AL$165)/(ORÇAMENTO!$X$15-CÁLCULO.TotalAdmLocal)*CRONO!$E97,0),U96*$R95),SUMIF(OFFSET($R97,1,0,$Q95-2),($L95+1)&amp;"$",OFFSET(U97,1,0,$Q95-2)))</f>
        <v>0</v>
      </c>
      <c r="V97" s="223">
        <f ca="1">IF($Q95=2,IF(AND(ACOMPANHAMENTO="PLE",ISNUMBER($E95)),SUMIF((OFFSET(CÁLCULO!$AM$15:$AW$15,$E95,0,OFFSET(ORÇAMENTO!$D$15,CRONO!$E95,0))),"="&amp;CRONO!V$12,OFFSET(CÁLCULO!$AB$15:$AL$15,$E95,0,OFFSET(ORÇAMENTO!$D$15,CRONO!$E95,0)))+IF(AND($E97&lt;&gt;"",$E97&lt;&gt;0),SUMIF(CÁLCULO!$AM$15:$AW$165,"="&amp;CRONO!V$12,CÁLCULO!$AB$15:$AL$165)/(ORÇAMENTO!$X$15-CÁLCULO.TotalAdmLocal)*CRONO!$E97,0),V96*$R95),SUMIF(OFFSET($R97,1,0,$Q95-2),($L95+1)&amp;"$",OFFSET(V97,1,0,$Q95-2)))</f>
        <v>651.79999999999995</v>
      </c>
      <c r="W97" s="223">
        <f ca="1">IF($Q95=2,IF(AND(ACOMPANHAMENTO="PLE",ISNUMBER($E95)),SUMIF((OFFSET(CÁLCULO!$AM$15:$AW$15,$E95,0,OFFSET(ORÇAMENTO!$D$15,CRONO!$E95,0))),"="&amp;CRONO!W$12,OFFSET(CÁLCULO!$AB$15:$AL$15,$E95,0,OFFSET(ORÇAMENTO!$D$15,CRONO!$E95,0)))+IF(AND($E97&lt;&gt;"",$E97&lt;&gt;0),SUMIF(CÁLCULO!$AM$15:$AW$165,"="&amp;CRONO!W$12,CÁLCULO!$AB$15:$AL$165)/(ORÇAMENTO!$X$15-CÁLCULO.TotalAdmLocal)*CRONO!$E97,0),W96*$R95),SUMIF(OFFSET($R97,1,0,$Q95-2),($L95+1)&amp;"$",OFFSET(W97,1,0,$Q95-2)))</f>
        <v>0</v>
      </c>
      <c r="X97" s="223">
        <f ca="1">IF($Q95=2,IF(AND(ACOMPANHAMENTO="PLE",ISNUMBER($E95)),SUMIF((OFFSET(CÁLCULO!$AM$15:$AW$15,$E95,0,OFFSET(ORÇAMENTO!$D$15,CRONO!$E95,0))),"="&amp;CRONO!X$12,OFFSET(CÁLCULO!$AB$15:$AL$15,$E95,0,OFFSET(ORÇAMENTO!$D$15,CRONO!$E95,0)))+IF(AND($E97&lt;&gt;"",$E97&lt;&gt;0),SUMIF(CÁLCULO!$AM$15:$AW$165,"="&amp;CRONO!X$12,CÁLCULO!$AB$15:$AL$165)/(ORÇAMENTO!$X$15-CÁLCULO.TotalAdmLocal)*CRONO!$E97,0),X96*$R95),SUMIF(OFFSET($R97,1,0,$Q95-2),($L95+1)&amp;"$",OFFSET(X97,1,0,$Q95-2)))</f>
        <v>0</v>
      </c>
      <c r="Y97" s="223">
        <f ca="1">IF($Q95=2,IF(AND(ACOMPANHAMENTO="PLE",ISNUMBER($E95)),SUMIF((OFFSET(CÁLCULO!$AM$15:$AW$15,$E95,0,OFFSET(ORÇAMENTO!$D$15,CRONO!$E95,0))),"="&amp;CRONO!Y$12,OFFSET(CÁLCULO!$AB$15:$AL$15,$E95,0,OFFSET(ORÇAMENTO!$D$15,CRONO!$E95,0)))+IF(AND($E97&lt;&gt;"",$E97&lt;&gt;0),SUMIF(CÁLCULO!$AM$15:$AW$165,"="&amp;CRONO!Y$12,CÁLCULO!$AB$15:$AL$165)/(ORÇAMENTO!$X$15-CÁLCULO.TotalAdmLocal)*CRONO!$E97,0),Y96*$R95),SUMIF(OFFSET($R97,1,0,$Q95-2),($L95+1)&amp;"$",OFFSET(Y97,1,0,$Q95-2)))</f>
        <v>0</v>
      </c>
      <c r="Z97" s="223">
        <f ca="1">IF($Q95=2,IF(AND(ACOMPANHAMENTO="PLE",ISNUMBER($E95)),SUMIF((OFFSET(CÁLCULO!$AM$15:$AW$15,$E95,0,OFFSET(ORÇAMENTO!$D$15,CRONO!$E95,0))),"="&amp;CRONO!Z$12,OFFSET(CÁLCULO!$AB$15:$AL$15,$E95,0,OFFSET(ORÇAMENTO!$D$15,CRONO!$E95,0)))+IF(AND($E97&lt;&gt;"",$E97&lt;&gt;0),SUMIF(CÁLCULO!$AM$15:$AW$165,"="&amp;CRONO!Z$12,CÁLCULO!$AB$15:$AL$165)/(ORÇAMENTO!$X$15-CÁLCULO.TotalAdmLocal)*CRONO!$E97,0),Z96*$R95),SUMIF(OFFSET($R97,1,0,$Q95-2),($L95+1)&amp;"$",OFFSET(Z97,1,0,$Q95-2)))</f>
        <v>0</v>
      </c>
      <c r="AA97" s="223">
        <f ca="1">IF($Q95=2,IF(AND(ACOMPANHAMENTO="PLE",ISNUMBER($E95)),SUMIF((OFFSET(CÁLCULO!$AM$15:$AW$15,$E95,0,OFFSET(ORÇAMENTO!$D$15,CRONO!$E95,0))),"="&amp;CRONO!AA$12,OFFSET(CÁLCULO!$AB$15:$AL$15,$E95,0,OFFSET(ORÇAMENTO!$D$15,CRONO!$E95,0)))+IF(AND($E97&lt;&gt;"",$E97&lt;&gt;0),SUMIF(CÁLCULO!$AM$15:$AW$165,"="&amp;CRONO!AA$12,CÁLCULO!$AB$15:$AL$165)/(ORÇAMENTO!$X$15-CÁLCULO.TotalAdmLocal)*CRONO!$E97,0),AA96*$R95),SUMIF(OFFSET($R97,1,0,$Q95-2),($L95+1)&amp;"$",OFFSET(AA97,1,0,$Q95-2)))</f>
        <v>0</v>
      </c>
      <c r="AB97" s="223">
        <f ca="1">IF($Q95=2,IF(AND(ACOMPANHAMENTO="PLE",ISNUMBER($E95)),SUMIF((OFFSET(CÁLCULO!$AM$15:$AW$15,$E95,0,OFFSET(ORÇAMENTO!$D$15,CRONO!$E95,0))),"="&amp;CRONO!AB$12,OFFSET(CÁLCULO!$AB$15:$AL$15,$E95,0,OFFSET(ORÇAMENTO!$D$15,CRONO!$E95,0)))+IF(AND($E97&lt;&gt;"",$E97&lt;&gt;0),SUMIF(CÁLCULO!$AM$15:$AW$165,"="&amp;CRONO!AB$12,CÁLCULO!$AB$15:$AL$165)/(ORÇAMENTO!$X$15-CÁLCULO.TotalAdmLocal)*CRONO!$E97,0),AB96*$R95),SUMIF(OFFSET($R97,1,0,$Q95-2),($L95+1)&amp;"$",OFFSET(AB97,1,0,$Q95-2)))</f>
        <v>0</v>
      </c>
      <c r="AC97" s="223">
        <f ca="1">IF($Q95=2,IF(AND(ACOMPANHAMENTO="PLE",ISNUMBER($E95)),SUMIF((OFFSET(CÁLCULO!$AM$15:$AW$15,$E95,0,OFFSET(ORÇAMENTO!$D$15,CRONO!$E95,0))),"="&amp;CRONO!AC$12,OFFSET(CÁLCULO!$AB$15:$AL$15,$E95,0,OFFSET(ORÇAMENTO!$D$15,CRONO!$E95,0)))+IF(AND($E97&lt;&gt;"",$E97&lt;&gt;0),SUMIF(CÁLCULO!$AM$15:$AW$165,"="&amp;CRONO!AC$12,CÁLCULO!$AB$15:$AL$165)/(ORÇAMENTO!$X$15-CÁLCULO.TotalAdmLocal)*CRONO!$E97,0),AC96*$R95),SUMIF(OFFSET($R97,1,0,$Q95-2),($L95+1)&amp;"$",OFFSET(AC97,1,0,$Q95-2)))</f>
        <v>0</v>
      </c>
      <c r="AD97" s="223">
        <f ca="1">IF($Q95=2,IF(AND(ACOMPANHAMENTO="PLE",ISNUMBER($E95)),SUMIF((OFFSET(CÁLCULO!$AM$15:$AW$15,$E95,0,OFFSET(ORÇAMENTO!$D$15,CRONO!$E95,0))),"="&amp;CRONO!AD$12,OFFSET(CÁLCULO!$AB$15:$AL$15,$E95,0,OFFSET(ORÇAMENTO!$D$15,CRONO!$E95,0)))+IF(AND($E97&lt;&gt;"",$E97&lt;&gt;0),SUMIF(CÁLCULO!$AM$15:$AW$165,"="&amp;CRONO!AD$12,CÁLCULO!$AB$15:$AL$165)/(ORÇAMENTO!$X$15-CÁLCULO.TotalAdmLocal)*CRONO!$E97,0),AD96*$R95),SUMIF(OFFSET($R97,1,0,$Q95-2),($L95+1)&amp;"$",OFFSET(AD97,1,0,$Q95-2)))</f>
        <v>0</v>
      </c>
      <c r="AE97" s="228">
        <f ca="1">IF($Q95=2,IF(AND(ACOMPANHAMENTO="PLE",ISNUMBER($E95)),SUMIF((OFFSET(CÁLCULO!$AM$15:$AW$15,$E95,0,OFFSET(ORÇAMENTO!$D$15,CRONO!$E95,0))),"="&amp;CRONO!AE$12,OFFSET(CÁLCULO!$AB$15:$AL$15,$E95,0,OFFSET(ORÇAMENTO!$D$15,CRONO!$E95,0)))+IF(AND($E97&lt;&gt;"",$E97&lt;&gt;0),SUMIF(CÁLCULO!$AM$15:$AW$165,"="&amp;CRONO!AE$12,CÁLCULO!$AB$15:$AL$165)/(ORÇAMENTO!$X$15-CÁLCULO.TotalAdmLocal)*CRONO!$E97,0),AE96*$R95),SUMIF(OFFSET($R97,1,0,$Q95-2),($L95+1)&amp;"$",OFFSET(AE97,1,0,$Q95-2)))</f>
        <v>0</v>
      </c>
    </row>
    <row r="98" spans="1:32" x14ac:dyDescent="0.2">
      <c r="A98" s="204">
        <f t="shared" ref="A98" ca="1" si="199">OFFSET(A98,-3,0)+1</f>
        <v>29</v>
      </c>
      <c r="B98" s="204">
        <f ca="1">IF($Q98&lt;&gt;2,0,IF($R98=0,1,IF(E99&gt;0,OFFSET(QCI!$M$13,SUBSTITUTE(E99,".",""),0),OFFSET(ORÇAMENTO!$AA$15,CRONO!$E98,0))/$R98))</f>
        <v>1.0000000000000002</v>
      </c>
      <c r="C98" s="204">
        <f ca="1">IF($Q98&lt;&gt;2,0,IF($R98=0,1,IF(E99&gt;0,OFFSET(QCI!$N$13,SUBSTITUTE(E99,".",""),0),OFFSET(ORÇAMENTO!$AB$15,CRONO!$E98,0))/$R98))</f>
        <v>0</v>
      </c>
      <c r="D98" s="207">
        <f ca="1">IF(AND($Q98=2,ACOMPANHAMENTO="BM"),D99,D100/$R98)</f>
        <v>0</v>
      </c>
      <c r="E98" s="204">
        <f ca="1">IF(A98&lt;=ORÇAMENTO.MáximoListaCrono,MATCH(A98,ORÇAMENTO.ListaCrono,0),NA())</f>
        <v>131</v>
      </c>
      <c r="F98" s="204" t="str">
        <f t="shared" ref="F98" ca="1" si="200">IF(AND($E99&lt;&gt;-1,$R98&gt;0),"F","")</f>
        <v>F</v>
      </c>
      <c r="G98" s="208">
        <f ca="1">IF(OR(R98=0,R98=""),"Linha",IF(AND(OR(ACOMPANHAMENTO="PLE",$Q98&lt;&gt;2),$E99=0),"Linha",1-SUM(T98:AF98)))</f>
        <v>0</v>
      </c>
      <c r="H98" s="209" t="str">
        <f ca="1">IF($E99=0,OFFSET(ORÇAMENTO!O$15,$E98,0),IF($E99&lt;&gt;-1,OFFSET(QCI!$D$13,$E99,0),""))</f>
        <v>9.1.</v>
      </c>
      <c r="I98" s="210" t="str">
        <f ca="1">IF($E99=0,OFFSET(ORÇAMENTO!R$15,$E98,0),IF($E99&lt;&gt;-1,OFFSET(QCI!$G$13,$E99,0),""))</f>
        <v>PREVENTIVO DE INCENDIO</v>
      </c>
      <c r="J98" s="210"/>
      <c r="K98" s="210"/>
      <c r="L98" s="211">
        <f ca="1">IF($E99=0,OFFSET(ORÇAMENTO!C$15,$E98,0),1)</f>
        <v>2</v>
      </c>
      <c r="M98" s="212">
        <f ca="1">IF($E99=-1,0,IF(M$13&lt;=$L98,IF(ISERROR(MATCH(M$13,OFFSET($L98,1,0,ROW($L$113)-ROW($L98)-1),0)),ROW($L$113)-ROW($L98)-1,MATCH(M$13,OFFSET($L98,1,0,ROW($L$113)-ROW($L98)-1),0)-1),0))</f>
        <v>2</v>
      </c>
      <c r="N98" s="212">
        <f ca="1">IF($E99=-1,0,IF(N$13&lt;=$L98,IF(ISERROR(MATCH(N$13,OFFSET($L98,1,0,ROW($L$113)-ROW($L98)-1),0)),ROW($L$113)-ROW($L98)-1,MATCH(N$13,OFFSET($L98,1,0,ROW($L$113)-ROW($L98)-1),0)-1),0))</f>
        <v>5</v>
      </c>
      <c r="O98" s="212">
        <f ca="1">IF($E99=-1,0,IF(O$13&lt;=$L98,IF(ISERROR(MATCH(O$13,OFFSET($L98,1,0,ROW($L$113)-ROW($L98)-1),0)),ROW($L$113)-ROW($L98)-1,MATCH(O$13,OFFSET($L98,1,0,ROW($L$113)-ROW($L98)-1),0)-1),0))</f>
        <v>0</v>
      </c>
      <c r="P98" s="212">
        <f ca="1">IF($E99=-1,0,IF(P$13&lt;=$L98,IF(ISERROR(MATCH(P$13,OFFSET($L98,1,0,ROW($L$113)-ROW($L98)-1),0)),ROW($L$113)-ROW($L98)-1,MATCH(P$13,OFFSET($L98,1,0,ROW($L$113)-ROW($L98)-1),0)-1),0))</f>
        <v>0</v>
      </c>
      <c r="Q98" s="212">
        <f t="shared" ref="Q98" ca="1" si="201">MIN(OFFSET(L98,0,1,,L98))</f>
        <v>2</v>
      </c>
      <c r="R98" s="213">
        <f ca="1">IF($E99=0,OFFSET(ORÇAMENTO!X$15,$E98,0),IF($E99&lt;&gt;-1,OFFSET(QCI!$O$13,$E99,0),""))</f>
        <v>651.79999999999995</v>
      </c>
      <c r="S98" s="214" t="s">
        <v>270</v>
      </c>
      <c r="T98" s="215">
        <f t="shared" ref="T98:AE98" ca="1" si="202">IF(AND($Q98=2,ACOMPANHAMENTO="BM"),T99,T100/$R98)</f>
        <v>0</v>
      </c>
      <c r="U98" s="207">
        <f t="shared" ca="1" si="202"/>
        <v>0</v>
      </c>
      <c r="V98" s="207">
        <f t="shared" ca="1" si="202"/>
        <v>1</v>
      </c>
      <c r="W98" s="207">
        <f t="shared" ca="1" si="202"/>
        <v>0</v>
      </c>
      <c r="X98" s="207">
        <f t="shared" ca="1" si="202"/>
        <v>0</v>
      </c>
      <c r="Y98" s="207">
        <f t="shared" ca="1" si="202"/>
        <v>0</v>
      </c>
      <c r="Z98" s="207">
        <f t="shared" ca="1" si="202"/>
        <v>0</v>
      </c>
      <c r="AA98" s="207">
        <f t="shared" ca="1" si="202"/>
        <v>0</v>
      </c>
      <c r="AB98" s="207">
        <f t="shared" ca="1" si="202"/>
        <v>0</v>
      </c>
      <c r="AC98" s="207">
        <f t="shared" ca="1" si="202"/>
        <v>0</v>
      </c>
      <c r="AD98" s="207">
        <f t="shared" ca="1" si="202"/>
        <v>0</v>
      </c>
      <c r="AE98" s="216">
        <f t="shared" ca="1" si="202"/>
        <v>0</v>
      </c>
    </row>
    <row r="99" spans="1:32" ht="12.75" customHeight="1" x14ac:dyDescent="0.2">
      <c r="D99" s="569"/>
      <c r="E99" s="204">
        <f ca="1">IF(ISERROR(E98),IF(1+COUNTIF($L$13:OFFSET(L98,-1,0),1)&lt;=MAX(QCI!$D$13:$D$24),1+COUNTIF($L$13:OFFSET(L98,-1,0),1),-1),0)</f>
        <v>0</v>
      </c>
      <c r="F99" s="204" t="str">
        <f t="shared" ref="F99" ca="1" si="203">IF(AND($E99&lt;&gt;-1,$R98&gt;0),"F","")</f>
        <v>F</v>
      </c>
      <c r="G99" s="217" t="str">
        <f ca="1">IF(OR(R98=0,R98=""),"vazia",IF(AND(OR(ACOMPANHAMENTO="PLE",$Q98&lt;&gt;2),$E99=0),"calculada","--&gt;"))</f>
        <v>--&gt;</v>
      </c>
      <c r="H99" s="218"/>
      <c r="I99" s="219" t="str">
        <f t="shared" ref="I99" ca="1" si="204">IF(AND(G98&lt;&gt;0,ISNUMBER(G98)),"PREENCHA ESTA LINHA --&gt;","")</f>
        <v/>
      </c>
      <c r="J99" s="219"/>
      <c r="K99" s="219"/>
      <c r="L99" s="220"/>
      <c r="M99" s="220"/>
      <c r="N99" s="220"/>
      <c r="O99" s="220"/>
      <c r="P99" s="220"/>
      <c r="Q99" s="220"/>
      <c r="R99" s="221"/>
      <c r="S99" s="222"/>
      <c r="T99" s="570"/>
      <c r="U99" s="569"/>
      <c r="V99" s="569">
        <v>1</v>
      </c>
      <c r="W99" s="569"/>
      <c r="X99" s="569"/>
      <c r="Y99" s="569"/>
      <c r="Z99" s="569"/>
      <c r="AA99" s="569"/>
      <c r="AB99" s="569"/>
      <c r="AC99" s="569"/>
      <c r="AD99" s="569"/>
      <c r="AE99" s="571"/>
      <c r="AF99" s="533"/>
    </row>
    <row r="100" spans="1:32" ht="0.2" hidden="1" customHeight="1" x14ac:dyDescent="0.2">
      <c r="D100" s="223">
        <f ca="1">IF($Q98=2,IF(AND(ACOMPANHAMENTO="PLE",ISNUMBER($E98)),SUMIF((OFFSET(CÁLCULO!$AM$15:$AW$15,$E98,0,OFFSET(ORÇAMENTO!$D$15,CRONO!$E98,0))),"="&amp;CRONO!D$12,OFFSET(CÁLCULO!$AB$15:$AL$15,$E98,0,OFFSET(ORÇAMENTO!$D$15,CRONO!$E98,0)))+IF(AND($E100&lt;&gt;"",$E100&lt;&gt;0),SUMIF(CÁLCULO!$AM$15:$AW$165,"="&amp;CRONO!D$12,CÁLCULO!$AB$15:$AL$165)/(ORÇAMENTO!$X$15-CÁLCULO.TotalAdmLocal)*CRONO!$E100,0),D99*$R98),SUMIF(OFFSET($R100,1,0,$Q98-2),($L98+1)&amp;"$",OFFSET(D100,1,0,$Q98-2)))</f>
        <v>0</v>
      </c>
      <c r="E100" s="204" t="str">
        <f ca="1">IF(OR($Q98&lt;&gt;2,AUTOEVENTO&lt;&gt;"manual",$E99&gt;0),"",SUMIF(OFFSET(CÁLCULO!$M$15,CRONO!$E98,0,OFFSET(ORÇAMENTO!$D$15,CRONO!$E98,0)),1,OFFSET(ORÇAMENTO!$X$15,CRONO!$E98,0,OFFSET(ORÇAMENTO!$D$15,CRONO!$E98,0))))</f>
        <v/>
      </c>
      <c r="G100" s="224"/>
      <c r="R100" s="225" t="str">
        <f t="shared" ref="R100" ca="1" si="205">L98&amp;"$"</f>
        <v>2$</v>
      </c>
      <c r="S100" s="226"/>
      <c r="T100" s="227">
        <f ca="1">IF($Q98=2,IF(AND(ACOMPANHAMENTO="PLE",ISNUMBER($E98)),SUMIF((OFFSET(CÁLCULO!$AM$15:$AW$15,$E98,0,OFFSET(ORÇAMENTO!$D$15,CRONO!$E98,0))),"&lt;="&amp;CRONO!T$12,OFFSET(CÁLCULO!$AB$15:$AL$15,$E98,0,OFFSET(ORÇAMENTO!$D$15,CRONO!$E98,0)))+IF(AND($E100&lt;&gt;"",$E100&lt;&gt;0),SUMIF(CÁLCULO!$AM$15:$AW$165,"&lt;="&amp;CRONO!T$12,CÁLCULO!$AB$15:$AL$165)/(ORÇAMENTO!$X$15-CÁLCULO.TotalAdmLocal)*CRONO!$E100,0),T99*$R98),SUMIF(OFFSET($R100,1,0,$Q98-2),($L98+1)&amp;"$",OFFSET(T100,1,0,$Q98-2)))</f>
        <v>0</v>
      </c>
      <c r="U100" s="223">
        <f ca="1">IF($Q98=2,IF(AND(ACOMPANHAMENTO="PLE",ISNUMBER($E98)),SUMIF((OFFSET(CÁLCULO!$AM$15:$AW$15,$E98,0,OFFSET(ORÇAMENTO!$D$15,CRONO!$E98,0))),"="&amp;CRONO!U$12,OFFSET(CÁLCULO!$AB$15:$AL$15,$E98,0,OFFSET(ORÇAMENTO!$D$15,CRONO!$E98,0)))+IF(AND($E100&lt;&gt;"",$E100&lt;&gt;0),SUMIF(CÁLCULO!$AM$15:$AW$165,"="&amp;CRONO!U$12,CÁLCULO!$AB$15:$AL$165)/(ORÇAMENTO!$X$15-CÁLCULO.TotalAdmLocal)*CRONO!$E100,0),U99*$R98),SUMIF(OFFSET($R100,1,0,$Q98-2),($L98+1)&amp;"$",OFFSET(U100,1,0,$Q98-2)))</f>
        <v>0</v>
      </c>
      <c r="V100" s="223">
        <f ca="1">IF($Q98=2,IF(AND(ACOMPANHAMENTO="PLE",ISNUMBER($E98)),SUMIF((OFFSET(CÁLCULO!$AM$15:$AW$15,$E98,0,OFFSET(ORÇAMENTO!$D$15,CRONO!$E98,0))),"="&amp;CRONO!V$12,OFFSET(CÁLCULO!$AB$15:$AL$15,$E98,0,OFFSET(ORÇAMENTO!$D$15,CRONO!$E98,0)))+IF(AND($E100&lt;&gt;"",$E100&lt;&gt;0),SUMIF(CÁLCULO!$AM$15:$AW$165,"="&amp;CRONO!V$12,CÁLCULO!$AB$15:$AL$165)/(ORÇAMENTO!$X$15-CÁLCULO.TotalAdmLocal)*CRONO!$E100,0),V99*$R98),SUMIF(OFFSET($R100,1,0,$Q98-2),($L98+1)&amp;"$",OFFSET(V100,1,0,$Q98-2)))</f>
        <v>651.79999999999995</v>
      </c>
      <c r="W100" s="223">
        <f ca="1">IF($Q98=2,IF(AND(ACOMPANHAMENTO="PLE",ISNUMBER($E98)),SUMIF((OFFSET(CÁLCULO!$AM$15:$AW$15,$E98,0,OFFSET(ORÇAMENTO!$D$15,CRONO!$E98,0))),"="&amp;CRONO!W$12,OFFSET(CÁLCULO!$AB$15:$AL$15,$E98,0,OFFSET(ORÇAMENTO!$D$15,CRONO!$E98,0)))+IF(AND($E100&lt;&gt;"",$E100&lt;&gt;0),SUMIF(CÁLCULO!$AM$15:$AW$165,"="&amp;CRONO!W$12,CÁLCULO!$AB$15:$AL$165)/(ORÇAMENTO!$X$15-CÁLCULO.TotalAdmLocal)*CRONO!$E100,0),W99*$R98),SUMIF(OFFSET($R100,1,0,$Q98-2),($L98+1)&amp;"$",OFFSET(W100,1,0,$Q98-2)))</f>
        <v>0</v>
      </c>
      <c r="X100" s="223">
        <f ca="1">IF($Q98=2,IF(AND(ACOMPANHAMENTO="PLE",ISNUMBER($E98)),SUMIF((OFFSET(CÁLCULO!$AM$15:$AW$15,$E98,0,OFFSET(ORÇAMENTO!$D$15,CRONO!$E98,0))),"="&amp;CRONO!X$12,OFFSET(CÁLCULO!$AB$15:$AL$15,$E98,0,OFFSET(ORÇAMENTO!$D$15,CRONO!$E98,0)))+IF(AND($E100&lt;&gt;"",$E100&lt;&gt;0),SUMIF(CÁLCULO!$AM$15:$AW$165,"="&amp;CRONO!X$12,CÁLCULO!$AB$15:$AL$165)/(ORÇAMENTO!$X$15-CÁLCULO.TotalAdmLocal)*CRONO!$E100,0),X99*$R98),SUMIF(OFFSET($R100,1,0,$Q98-2),($L98+1)&amp;"$",OFFSET(X100,1,0,$Q98-2)))</f>
        <v>0</v>
      </c>
      <c r="Y100" s="223">
        <f ca="1">IF($Q98=2,IF(AND(ACOMPANHAMENTO="PLE",ISNUMBER($E98)),SUMIF((OFFSET(CÁLCULO!$AM$15:$AW$15,$E98,0,OFFSET(ORÇAMENTO!$D$15,CRONO!$E98,0))),"="&amp;CRONO!Y$12,OFFSET(CÁLCULO!$AB$15:$AL$15,$E98,0,OFFSET(ORÇAMENTO!$D$15,CRONO!$E98,0)))+IF(AND($E100&lt;&gt;"",$E100&lt;&gt;0),SUMIF(CÁLCULO!$AM$15:$AW$165,"="&amp;CRONO!Y$12,CÁLCULO!$AB$15:$AL$165)/(ORÇAMENTO!$X$15-CÁLCULO.TotalAdmLocal)*CRONO!$E100,0),Y99*$R98),SUMIF(OFFSET($R100,1,0,$Q98-2),($L98+1)&amp;"$",OFFSET(Y100,1,0,$Q98-2)))</f>
        <v>0</v>
      </c>
      <c r="Z100" s="223">
        <f ca="1">IF($Q98=2,IF(AND(ACOMPANHAMENTO="PLE",ISNUMBER($E98)),SUMIF((OFFSET(CÁLCULO!$AM$15:$AW$15,$E98,0,OFFSET(ORÇAMENTO!$D$15,CRONO!$E98,0))),"="&amp;CRONO!Z$12,OFFSET(CÁLCULO!$AB$15:$AL$15,$E98,0,OFFSET(ORÇAMENTO!$D$15,CRONO!$E98,0)))+IF(AND($E100&lt;&gt;"",$E100&lt;&gt;0),SUMIF(CÁLCULO!$AM$15:$AW$165,"="&amp;CRONO!Z$12,CÁLCULO!$AB$15:$AL$165)/(ORÇAMENTO!$X$15-CÁLCULO.TotalAdmLocal)*CRONO!$E100,0),Z99*$R98),SUMIF(OFFSET($R100,1,0,$Q98-2),($L98+1)&amp;"$",OFFSET(Z100,1,0,$Q98-2)))</f>
        <v>0</v>
      </c>
      <c r="AA100" s="223">
        <f ca="1">IF($Q98=2,IF(AND(ACOMPANHAMENTO="PLE",ISNUMBER($E98)),SUMIF((OFFSET(CÁLCULO!$AM$15:$AW$15,$E98,0,OFFSET(ORÇAMENTO!$D$15,CRONO!$E98,0))),"="&amp;CRONO!AA$12,OFFSET(CÁLCULO!$AB$15:$AL$15,$E98,0,OFFSET(ORÇAMENTO!$D$15,CRONO!$E98,0)))+IF(AND($E100&lt;&gt;"",$E100&lt;&gt;0),SUMIF(CÁLCULO!$AM$15:$AW$165,"="&amp;CRONO!AA$12,CÁLCULO!$AB$15:$AL$165)/(ORÇAMENTO!$X$15-CÁLCULO.TotalAdmLocal)*CRONO!$E100,0),AA99*$R98),SUMIF(OFFSET($R100,1,0,$Q98-2),($L98+1)&amp;"$",OFFSET(AA100,1,0,$Q98-2)))</f>
        <v>0</v>
      </c>
      <c r="AB100" s="223">
        <f ca="1">IF($Q98=2,IF(AND(ACOMPANHAMENTO="PLE",ISNUMBER($E98)),SUMIF((OFFSET(CÁLCULO!$AM$15:$AW$15,$E98,0,OFFSET(ORÇAMENTO!$D$15,CRONO!$E98,0))),"="&amp;CRONO!AB$12,OFFSET(CÁLCULO!$AB$15:$AL$15,$E98,0,OFFSET(ORÇAMENTO!$D$15,CRONO!$E98,0)))+IF(AND($E100&lt;&gt;"",$E100&lt;&gt;0),SUMIF(CÁLCULO!$AM$15:$AW$165,"="&amp;CRONO!AB$12,CÁLCULO!$AB$15:$AL$165)/(ORÇAMENTO!$X$15-CÁLCULO.TotalAdmLocal)*CRONO!$E100,0),AB99*$R98),SUMIF(OFFSET($R100,1,0,$Q98-2),($L98+1)&amp;"$",OFFSET(AB100,1,0,$Q98-2)))</f>
        <v>0</v>
      </c>
      <c r="AC100" s="223">
        <f ca="1">IF($Q98=2,IF(AND(ACOMPANHAMENTO="PLE",ISNUMBER($E98)),SUMIF((OFFSET(CÁLCULO!$AM$15:$AW$15,$E98,0,OFFSET(ORÇAMENTO!$D$15,CRONO!$E98,0))),"="&amp;CRONO!AC$12,OFFSET(CÁLCULO!$AB$15:$AL$15,$E98,0,OFFSET(ORÇAMENTO!$D$15,CRONO!$E98,0)))+IF(AND($E100&lt;&gt;"",$E100&lt;&gt;0),SUMIF(CÁLCULO!$AM$15:$AW$165,"="&amp;CRONO!AC$12,CÁLCULO!$AB$15:$AL$165)/(ORÇAMENTO!$X$15-CÁLCULO.TotalAdmLocal)*CRONO!$E100,0),AC99*$R98),SUMIF(OFFSET($R100,1,0,$Q98-2),($L98+1)&amp;"$",OFFSET(AC100,1,0,$Q98-2)))</f>
        <v>0</v>
      </c>
      <c r="AD100" s="223">
        <f ca="1">IF($Q98=2,IF(AND(ACOMPANHAMENTO="PLE",ISNUMBER($E98)),SUMIF((OFFSET(CÁLCULO!$AM$15:$AW$15,$E98,0,OFFSET(ORÇAMENTO!$D$15,CRONO!$E98,0))),"="&amp;CRONO!AD$12,OFFSET(CÁLCULO!$AB$15:$AL$15,$E98,0,OFFSET(ORÇAMENTO!$D$15,CRONO!$E98,0)))+IF(AND($E100&lt;&gt;"",$E100&lt;&gt;0),SUMIF(CÁLCULO!$AM$15:$AW$165,"="&amp;CRONO!AD$12,CÁLCULO!$AB$15:$AL$165)/(ORÇAMENTO!$X$15-CÁLCULO.TotalAdmLocal)*CRONO!$E100,0),AD99*$R98),SUMIF(OFFSET($R100,1,0,$Q98-2),($L98+1)&amp;"$",OFFSET(AD100,1,0,$Q98-2)))</f>
        <v>0</v>
      </c>
      <c r="AE100" s="228">
        <f ca="1">IF($Q98=2,IF(AND(ACOMPANHAMENTO="PLE",ISNUMBER($E98)),SUMIF((OFFSET(CÁLCULO!$AM$15:$AW$15,$E98,0,OFFSET(ORÇAMENTO!$D$15,CRONO!$E98,0))),"="&amp;CRONO!AE$12,OFFSET(CÁLCULO!$AB$15:$AL$15,$E98,0,OFFSET(ORÇAMENTO!$D$15,CRONO!$E98,0)))+IF(AND($E100&lt;&gt;"",$E100&lt;&gt;0),SUMIF(CÁLCULO!$AM$15:$AW$165,"="&amp;CRONO!AE$12,CÁLCULO!$AB$15:$AL$165)/(ORÇAMENTO!$X$15-CÁLCULO.TotalAdmLocal)*CRONO!$E100,0),AE99*$R98),SUMIF(OFFSET($R100,1,0,$Q98-2),($L98+1)&amp;"$",OFFSET(AE100,1,0,$Q98-2)))</f>
        <v>0</v>
      </c>
    </row>
    <row r="101" spans="1:32" x14ac:dyDescent="0.2">
      <c r="A101" s="204">
        <f t="shared" ref="A101" ca="1" si="206">OFFSET(A101,-3,0)+1</f>
        <v>30</v>
      </c>
      <c r="B101" s="204">
        <f ca="1">IF($Q101&lt;&gt;2,0,IF($R101=0,1,IF(E102&gt;0,OFFSET(QCI!$M$13,SUBSTITUTE(E102,".",""),0),OFFSET(ORÇAMENTO!$AA$15,CRONO!$E101,0))/$R101))</f>
        <v>0</v>
      </c>
      <c r="C101" s="204">
        <f ca="1">IF($Q101&lt;&gt;2,0,IF($R101=0,1,IF(E102&gt;0,OFFSET(QCI!$N$13,SUBSTITUTE(E102,".",""),0),OFFSET(ORÇAMENTO!$AB$15,CRONO!$E101,0))/$R101))</f>
        <v>0</v>
      </c>
      <c r="D101" s="207">
        <f ca="1">IF(AND($Q101=2,ACOMPANHAMENTO="BM"),D102,D103/$R101)</f>
        <v>0</v>
      </c>
      <c r="E101" s="204">
        <f ca="1">IF(A101&lt;=ORÇAMENTO.MáximoListaCrono,MATCH(A101,ORÇAMENTO.ListaCrono,0),NA())</f>
        <v>135</v>
      </c>
      <c r="F101" s="204" t="str">
        <f t="shared" ref="F101" ca="1" si="207">IF(AND($E102&lt;&gt;-1,$R101&gt;0),"F","")</f>
        <v>F</v>
      </c>
      <c r="G101" s="208" t="str">
        <f ca="1">IF(OR(R101=0,R101=""),"Linha",IF(AND(OR(ACOMPANHAMENTO="PLE",$Q101&lt;&gt;2),$E102=0),"Linha",1-SUM(T101:AF101)))</f>
        <v>Linha</v>
      </c>
      <c r="H101" s="209" t="str">
        <f ca="1">IF($E102=0,OFFSET(ORÇAMENTO!O$15,$E101,0),IF($E102&lt;&gt;-1,OFFSET(QCI!$D$13,$E102,0),""))</f>
        <v>10.</v>
      </c>
      <c r="I101" s="210" t="str">
        <f ca="1">IF($E102=0,OFFSET(ORÇAMENTO!R$15,$E101,0),IF($E102&lt;&gt;-1,OFFSET(QCI!$G$13,$E102,0),""))</f>
        <v>CAMPO DE FUTEBOL</v>
      </c>
      <c r="J101" s="210"/>
      <c r="K101" s="210"/>
      <c r="L101" s="211">
        <f ca="1">IF($E102=0,OFFSET(ORÇAMENTO!C$15,$E101,0),1)</f>
        <v>1</v>
      </c>
      <c r="M101" s="212">
        <f ca="1">IF($E102=-1,0,IF(M$13&lt;=$L101,IF(ISERROR(MATCH(M$13,OFFSET($L101,1,0,ROW($L$113)-ROW($L101)-1),0)),ROW($L$113)-ROW($L101)-1,MATCH(M$13,OFFSET($L101,1,0,ROW($L$113)-ROW($L101)-1),0)-1),0))</f>
        <v>11</v>
      </c>
      <c r="N101" s="212">
        <f ca="1">IF($E102=-1,0,IF(N$13&lt;=$L101,IF(ISERROR(MATCH(N$13,OFFSET($L101,1,0,ROW($L$113)-ROW($L101)-1),0)),ROW($L$113)-ROW($L101)-1,MATCH(N$13,OFFSET($L101,1,0,ROW($L$113)-ROW($L101)-1),0)-1),0))</f>
        <v>0</v>
      </c>
      <c r="O101" s="212">
        <f ca="1">IF($E102=-1,0,IF(O$13&lt;=$L101,IF(ISERROR(MATCH(O$13,OFFSET($L101,1,0,ROW($L$113)-ROW($L101)-1),0)),ROW($L$113)-ROW($L101)-1,MATCH(O$13,OFFSET($L101,1,0,ROW($L$113)-ROW($L101)-1),0)-1),0))</f>
        <v>0</v>
      </c>
      <c r="P101" s="212">
        <f ca="1">IF($E102=-1,0,IF(P$13&lt;=$L101,IF(ISERROR(MATCH(P$13,OFFSET($L101,1,0,ROW($L$113)-ROW($L101)-1),0)),ROW($L$113)-ROW($L101)-1,MATCH(P$13,OFFSET($L101,1,0,ROW($L$113)-ROW($L101)-1),0)-1),0))</f>
        <v>0</v>
      </c>
      <c r="Q101" s="212">
        <f t="shared" ref="Q101" ca="1" si="208">MIN(OFFSET(L101,0,1,,L101))</f>
        <v>11</v>
      </c>
      <c r="R101" s="213">
        <f ca="1">IF($E102=0,OFFSET(ORÇAMENTO!X$15,$E101,0),IF($E102&lt;&gt;-1,OFFSET(QCI!$O$13,$E102,0),""))</f>
        <v>69860.06</v>
      </c>
      <c r="S101" s="214" t="s">
        <v>270</v>
      </c>
      <c r="T101" s="215">
        <f t="shared" ref="T101:AE101" ca="1" si="209">IF(AND($Q101=2,ACOMPANHAMENTO="BM"),T102,T103/$R101)</f>
        <v>1.007442593092534E-2</v>
      </c>
      <c r="U101" s="207">
        <f t="shared" ca="1" si="209"/>
        <v>0.47876068242712649</v>
      </c>
      <c r="V101" s="207">
        <f t="shared" ca="1" si="209"/>
        <v>0.51116489164194823</v>
      </c>
      <c r="W101" s="207">
        <f t="shared" ca="1" si="209"/>
        <v>0</v>
      </c>
      <c r="X101" s="207">
        <f t="shared" ca="1" si="209"/>
        <v>0</v>
      </c>
      <c r="Y101" s="207">
        <f t="shared" ca="1" si="209"/>
        <v>0</v>
      </c>
      <c r="Z101" s="207">
        <f t="shared" ca="1" si="209"/>
        <v>0</v>
      </c>
      <c r="AA101" s="207">
        <f t="shared" ca="1" si="209"/>
        <v>0</v>
      </c>
      <c r="AB101" s="207">
        <f t="shared" ca="1" si="209"/>
        <v>0</v>
      </c>
      <c r="AC101" s="207">
        <f t="shared" ca="1" si="209"/>
        <v>0</v>
      </c>
      <c r="AD101" s="207">
        <f t="shared" ca="1" si="209"/>
        <v>0</v>
      </c>
      <c r="AE101" s="216">
        <f t="shared" ca="1" si="209"/>
        <v>0</v>
      </c>
    </row>
    <row r="102" spans="1:32" ht="12.75" customHeight="1" x14ac:dyDescent="0.2">
      <c r="D102" s="569"/>
      <c r="E102" s="204">
        <f ca="1">IF(ISERROR(E101),IF(1+COUNTIF($L$13:OFFSET(L101,-1,0),1)&lt;=MAX(QCI!$D$13:$D$24),1+COUNTIF($L$13:OFFSET(L101,-1,0),1),-1),0)</f>
        <v>0</v>
      </c>
      <c r="F102" s="204" t="str">
        <f t="shared" ref="F102" ca="1" si="210">IF(AND($E102&lt;&gt;-1,$R101&gt;0),"F","")</f>
        <v>F</v>
      </c>
      <c r="G102" s="217" t="str">
        <f ca="1">IF(OR(R101=0,R101=""),"vazia",IF(AND(OR(ACOMPANHAMENTO="PLE",$Q101&lt;&gt;2),$E102=0),"calculada","--&gt;"))</f>
        <v>calculada</v>
      </c>
      <c r="H102" s="218"/>
      <c r="I102" s="219" t="str">
        <f t="shared" ref="I102" ca="1" si="211">IF(AND(G101&lt;&gt;0,ISNUMBER(G101)),"PREENCHA ESTA LINHA --&gt;","")</f>
        <v/>
      </c>
      <c r="J102" s="219"/>
      <c r="K102" s="219"/>
      <c r="L102" s="220"/>
      <c r="M102" s="220"/>
      <c r="N102" s="220"/>
      <c r="O102" s="220"/>
      <c r="P102" s="220"/>
      <c r="Q102" s="220"/>
      <c r="R102" s="221"/>
      <c r="S102" s="222"/>
      <c r="T102" s="570">
        <v>0.2</v>
      </c>
      <c r="U102" s="569">
        <v>0.6</v>
      </c>
      <c r="V102" s="569">
        <v>0.2</v>
      </c>
      <c r="W102" s="569"/>
      <c r="X102" s="569"/>
      <c r="Y102" s="569"/>
      <c r="Z102" s="569"/>
      <c r="AA102" s="569"/>
      <c r="AB102" s="569"/>
      <c r="AC102" s="569"/>
      <c r="AD102" s="569"/>
      <c r="AE102" s="571"/>
      <c r="AF102" s="533"/>
    </row>
    <row r="103" spans="1:32" ht="0.2" hidden="1" customHeight="1" x14ac:dyDescent="0.2">
      <c r="D103" s="223">
        <f ca="1">IF($Q101=2,IF(AND(ACOMPANHAMENTO="PLE",ISNUMBER($E101)),SUMIF((OFFSET(CÁLCULO!$AM$15:$AW$15,$E101,0,OFFSET(ORÇAMENTO!$D$15,CRONO!$E101,0))),"="&amp;CRONO!D$12,OFFSET(CÁLCULO!$AB$15:$AL$15,$E101,0,OFFSET(ORÇAMENTO!$D$15,CRONO!$E101,0)))+IF(AND($E103&lt;&gt;"",$E103&lt;&gt;0),SUMIF(CÁLCULO!$AM$15:$AW$165,"="&amp;CRONO!D$12,CÁLCULO!$AB$15:$AL$165)/(ORÇAMENTO!$X$15-CÁLCULO.TotalAdmLocal)*CRONO!$E103,0),D102*$R101),SUMIF(OFFSET($R103,1,0,$Q101-2),($L101+1)&amp;"$",OFFSET(D103,1,0,$Q101-2)))</f>
        <v>0</v>
      </c>
      <c r="E103" s="204" t="str">
        <f ca="1">IF(OR($Q101&lt;&gt;2,AUTOEVENTO&lt;&gt;"manual",$E102&gt;0),"",SUMIF(OFFSET(CÁLCULO!$M$15,CRONO!$E101,0,OFFSET(ORÇAMENTO!$D$15,CRONO!$E101,0)),1,OFFSET(ORÇAMENTO!$X$15,CRONO!$E101,0,OFFSET(ORÇAMENTO!$D$15,CRONO!$E101,0))))</f>
        <v/>
      </c>
      <c r="G103" s="224"/>
      <c r="R103" s="225" t="str">
        <f t="shared" ref="R103" ca="1" si="212">L101&amp;"$"</f>
        <v>1$</v>
      </c>
      <c r="S103" s="226"/>
      <c r="T103" s="227">
        <f ca="1">IF($Q101=2,IF(AND(ACOMPANHAMENTO="PLE",ISNUMBER($E101)),SUMIF((OFFSET(CÁLCULO!$AM$15:$AW$15,$E101,0,OFFSET(ORÇAMENTO!$D$15,CRONO!$E101,0))),"&lt;="&amp;CRONO!T$12,OFFSET(CÁLCULO!$AB$15:$AL$15,$E101,0,OFFSET(ORÇAMENTO!$D$15,CRONO!$E101,0)))+IF(AND($E103&lt;&gt;"",$E103&lt;&gt;0),SUMIF(CÁLCULO!$AM$15:$AW$165,"&lt;="&amp;CRONO!T$12,CÁLCULO!$AB$15:$AL$165)/(ORÇAMENTO!$X$15-CÁLCULO.TotalAdmLocal)*CRONO!$E103,0),T102*$R101),SUMIF(OFFSET($R103,1,0,$Q101-2),($L101+1)&amp;"$",OFFSET(T103,1,0,$Q101-2)))</f>
        <v>703.80000000000007</v>
      </c>
      <c r="U103" s="223">
        <f ca="1">IF($Q101=2,IF(AND(ACOMPANHAMENTO="PLE",ISNUMBER($E101)),SUMIF((OFFSET(CÁLCULO!$AM$15:$AW$15,$E101,0,OFFSET(ORÇAMENTO!$D$15,CRONO!$E101,0))),"="&amp;CRONO!U$12,OFFSET(CÁLCULO!$AB$15:$AL$15,$E101,0,OFFSET(ORÇAMENTO!$D$15,CRONO!$E101,0)))+IF(AND($E103&lt;&gt;"",$E103&lt;&gt;0),SUMIF(CÁLCULO!$AM$15:$AW$165,"="&amp;CRONO!U$12,CÁLCULO!$AB$15:$AL$165)/(ORÇAMENTO!$X$15-CÁLCULO.TotalAdmLocal)*CRONO!$E103,0),U102*$R101),SUMIF(OFFSET($R103,1,0,$Q101-2),($L101+1)&amp;"$",OFFSET(U103,1,0,$Q101-2)))</f>
        <v>33446.25</v>
      </c>
      <c r="V103" s="223">
        <f ca="1">IF($Q101=2,IF(AND(ACOMPANHAMENTO="PLE",ISNUMBER($E101)),SUMIF((OFFSET(CÁLCULO!$AM$15:$AW$15,$E101,0,OFFSET(ORÇAMENTO!$D$15,CRONO!$E101,0))),"="&amp;CRONO!V$12,OFFSET(CÁLCULO!$AB$15:$AL$15,$E101,0,OFFSET(ORÇAMENTO!$D$15,CRONO!$E101,0)))+IF(AND($E103&lt;&gt;"",$E103&lt;&gt;0),SUMIF(CÁLCULO!$AM$15:$AW$165,"="&amp;CRONO!V$12,CÁLCULO!$AB$15:$AL$165)/(ORÇAMENTO!$X$15-CÁLCULO.TotalAdmLocal)*CRONO!$E103,0),V102*$R101),SUMIF(OFFSET($R103,1,0,$Q101-2),($L101+1)&amp;"$",OFFSET(V103,1,0,$Q101-2)))</f>
        <v>35710.01</v>
      </c>
      <c r="W103" s="223">
        <f ca="1">IF($Q101=2,IF(AND(ACOMPANHAMENTO="PLE",ISNUMBER($E101)),SUMIF((OFFSET(CÁLCULO!$AM$15:$AW$15,$E101,0,OFFSET(ORÇAMENTO!$D$15,CRONO!$E101,0))),"="&amp;CRONO!W$12,OFFSET(CÁLCULO!$AB$15:$AL$15,$E101,0,OFFSET(ORÇAMENTO!$D$15,CRONO!$E101,0)))+IF(AND($E103&lt;&gt;"",$E103&lt;&gt;0),SUMIF(CÁLCULO!$AM$15:$AW$165,"="&amp;CRONO!W$12,CÁLCULO!$AB$15:$AL$165)/(ORÇAMENTO!$X$15-CÁLCULO.TotalAdmLocal)*CRONO!$E103,0),W102*$R101),SUMIF(OFFSET($R103,1,0,$Q101-2),($L101+1)&amp;"$",OFFSET(W103,1,0,$Q101-2)))</f>
        <v>0</v>
      </c>
      <c r="X103" s="223">
        <f ca="1">IF($Q101=2,IF(AND(ACOMPANHAMENTO="PLE",ISNUMBER($E101)),SUMIF((OFFSET(CÁLCULO!$AM$15:$AW$15,$E101,0,OFFSET(ORÇAMENTO!$D$15,CRONO!$E101,0))),"="&amp;CRONO!X$12,OFFSET(CÁLCULO!$AB$15:$AL$15,$E101,0,OFFSET(ORÇAMENTO!$D$15,CRONO!$E101,0)))+IF(AND($E103&lt;&gt;"",$E103&lt;&gt;0),SUMIF(CÁLCULO!$AM$15:$AW$165,"="&amp;CRONO!X$12,CÁLCULO!$AB$15:$AL$165)/(ORÇAMENTO!$X$15-CÁLCULO.TotalAdmLocal)*CRONO!$E103,0),X102*$R101),SUMIF(OFFSET($R103,1,0,$Q101-2),($L101+1)&amp;"$",OFFSET(X103,1,0,$Q101-2)))</f>
        <v>0</v>
      </c>
      <c r="Y103" s="223">
        <f ca="1">IF($Q101=2,IF(AND(ACOMPANHAMENTO="PLE",ISNUMBER($E101)),SUMIF((OFFSET(CÁLCULO!$AM$15:$AW$15,$E101,0,OFFSET(ORÇAMENTO!$D$15,CRONO!$E101,0))),"="&amp;CRONO!Y$12,OFFSET(CÁLCULO!$AB$15:$AL$15,$E101,0,OFFSET(ORÇAMENTO!$D$15,CRONO!$E101,0)))+IF(AND($E103&lt;&gt;"",$E103&lt;&gt;0),SUMIF(CÁLCULO!$AM$15:$AW$165,"="&amp;CRONO!Y$12,CÁLCULO!$AB$15:$AL$165)/(ORÇAMENTO!$X$15-CÁLCULO.TotalAdmLocal)*CRONO!$E103,0),Y102*$R101),SUMIF(OFFSET($R103,1,0,$Q101-2),($L101+1)&amp;"$",OFFSET(Y103,1,0,$Q101-2)))</f>
        <v>0</v>
      </c>
      <c r="Z103" s="223">
        <f ca="1">IF($Q101=2,IF(AND(ACOMPANHAMENTO="PLE",ISNUMBER($E101)),SUMIF((OFFSET(CÁLCULO!$AM$15:$AW$15,$E101,0,OFFSET(ORÇAMENTO!$D$15,CRONO!$E101,0))),"="&amp;CRONO!Z$12,OFFSET(CÁLCULO!$AB$15:$AL$15,$E101,0,OFFSET(ORÇAMENTO!$D$15,CRONO!$E101,0)))+IF(AND($E103&lt;&gt;"",$E103&lt;&gt;0),SUMIF(CÁLCULO!$AM$15:$AW$165,"="&amp;CRONO!Z$12,CÁLCULO!$AB$15:$AL$165)/(ORÇAMENTO!$X$15-CÁLCULO.TotalAdmLocal)*CRONO!$E103,0),Z102*$R101),SUMIF(OFFSET($R103,1,0,$Q101-2),($L101+1)&amp;"$",OFFSET(Z103,1,0,$Q101-2)))</f>
        <v>0</v>
      </c>
      <c r="AA103" s="223">
        <f ca="1">IF($Q101=2,IF(AND(ACOMPANHAMENTO="PLE",ISNUMBER($E101)),SUMIF((OFFSET(CÁLCULO!$AM$15:$AW$15,$E101,0,OFFSET(ORÇAMENTO!$D$15,CRONO!$E101,0))),"="&amp;CRONO!AA$12,OFFSET(CÁLCULO!$AB$15:$AL$15,$E101,0,OFFSET(ORÇAMENTO!$D$15,CRONO!$E101,0)))+IF(AND($E103&lt;&gt;"",$E103&lt;&gt;0),SUMIF(CÁLCULO!$AM$15:$AW$165,"="&amp;CRONO!AA$12,CÁLCULO!$AB$15:$AL$165)/(ORÇAMENTO!$X$15-CÁLCULO.TotalAdmLocal)*CRONO!$E103,0),AA102*$R101),SUMIF(OFFSET($R103,1,0,$Q101-2),($L101+1)&amp;"$",OFFSET(AA103,1,0,$Q101-2)))</f>
        <v>0</v>
      </c>
      <c r="AB103" s="223">
        <f ca="1">IF($Q101=2,IF(AND(ACOMPANHAMENTO="PLE",ISNUMBER($E101)),SUMIF((OFFSET(CÁLCULO!$AM$15:$AW$15,$E101,0,OFFSET(ORÇAMENTO!$D$15,CRONO!$E101,0))),"="&amp;CRONO!AB$12,OFFSET(CÁLCULO!$AB$15:$AL$15,$E101,0,OFFSET(ORÇAMENTO!$D$15,CRONO!$E101,0)))+IF(AND($E103&lt;&gt;"",$E103&lt;&gt;0),SUMIF(CÁLCULO!$AM$15:$AW$165,"="&amp;CRONO!AB$12,CÁLCULO!$AB$15:$AL$165)/(ORÇAMENTO!$X$15-CÁLCULO.TotalAdmLocal)*CRONO!$E103,0),AB102*$R101),SUMIF(OFFSET($R103,1,0,$Q101-2),($L101+1)&amp;"$",OFFSET(AB103,1,0,$Q101-2)))</f>
        <v>0</v>
      </c>
      <c r="AC103" s="223">
        <f ca="1">IF($Q101=2,IF(AND(ACOMPANHAMENTO="PLE",ISNUMBER($E101)),SUMIF((OFFSET(CÁLCULO!$AM$15:$AW$15,$E101,0,OFFSET(ORÇAMENTO!$D$15,CRONO!$E101,0))),"="&amp;CRONO!AC$12,OFFSET(CÁLCULO!$AB$15:$AL$15,$E101,0,OFFSET(ORÇAMENTO!$D$15,CRONO!$E101,0)))+IF(AND($E103&lt;&gt;"",$E103&lt;&gt;0),SUMIF(CÁLCULO!$AM$15:$AW$165,"="&amp;CRONO!AC$12,CÁLCULO!$AB$15:$AL$165)/(ORÇAMENTO!$X$15-CÁLCULO.TotalAdmLocal)*CRONO!$E103,0),AC102*$R101),SUMIF(OFFSET($R103,1,0,$Q101-2),($L101+1)&amp;"$",OFFSET(AC103,1,0,$Q101-2)))</f>
        <v>0</v>
      </c>
      <c r="AD103" s="223">
        <f ca="1">IF($Q101=2,IF(AND(ACOMPANHAMENTO="PLE",ISNUMBER($E101)),SUMIF((OFFSET(CÁLCULO!$AM$15:$AW$15,$E101,0,OFFSET(ORÇAMENTO!$D$15,CRONO!$E101,0))),"="&amp;CRONO!AD$12,OFFSET(CÁLCULO!$AB$15:$AL$15,$E101,0,OFFSET(ORÇAMENTO!$D$15,CRONO!$E101,0)))+IF(AND($E103&lt;&gt;"",$E103&lt;&gt;0),SUMIF(CÁLCULO!$AM$15:$AW$165,"="&amp;CRONO!AD$12,CÁLCULO!$AB$15:$AL$165)/(ORÇAMENTO!$X$15-CÁLCULO.TotalAdmLocal)*CRONO!$E103,0),AD102*$R101),SUMIF(OFFSET($R103,1,0,$Q101-2),($L101+1)&amp;"$",OFFSET(AD103,1,0,$Q101-2)))</f>
        <v>0</v>
      </c>
      <c r="AE103" s="228">
        <f ca="1">IF($Q101=2,IF(AND(ACOMPANHAMENTO="PLE",ISNUMBER($E101)),SUMIF((OFFSET(CÁLCULO!$AM$15:$AW$15,$E101,0,OFFSET(ORÇAMENTO!$D$15,CRONO!$E101,0))),"="&amp;CRONO!AE$12,OFFSET(CÁLCULO!$AB$15:$AL$15,$E101,0,OFFSET(ORÇAMENTO!$D$15,CRONO!$E101,0)))+IF(AND($E103&lt;&gt;"",$E103&lt;&gt;0),SUMIF(CÁLCULO!$AM$15:$AW$165,"="&amp;CRONO!AE$12,CÁLCULO!$AB$15:$AL$165)/(ORÇAMENTO!$X$15-CÁLCULO.TotalAdmLocal)*CRONO!$E103,0),AE102*$R101),SUMIF(OFFSET($R103,1,0,$Q101-2),($L101+1)&amp;"$",OFFSET(AE103,1,0,$Q101-2)))</f>
        <v>0</v>
      </c>
    </row>
    <row r="104" spans="1:32" x14ac:dyDescent="0.2">
      <c r="A104" s="204">
        <f t="shared" ref="A104" ca="1" si="213">OFFSET(A104,-3,0)+1</f>
        <v>31</v>
      </c>
      <c r="B104" s="204">
        <f ca="1">IF($Q104&lt;&gt;2,0,IF($R104=0,1,IF(E105&gt;0,OFFSET(QCI!$M$13,SUBSTITUTE(E105,".",""),0),OFFSET(ORÇAMENTO!$AA$15,CRONO!$E104,0))/$R104))</f>
        <v>1</v>
      </c>
      <c r="C104" s="204">
        <f ca="1">IF($Q104&lt;&gt;2,0,IF($R104=0,1,IF(E105&gt;0,OFFSET(QCI!$N$13,SUBSTITUTE(E105,".",""),0),OFFSET(ORÇAMENTO!$AB$15,CRONO!$E104,0))/$R104))</f>
        <v>0</v>
      </c>
      <c r="D104" s="207">
        <f ca="1">IF(AND($Q104=2,ACOMPANHAMENTO="BM"),D105,D106/$R104)</f>
        <v>0</v>
      </c>
      <c r="E104" s="204">
        <f ca="1">IF(A104&lt;=ORÇAMENTO.MáximoListaCrono,MATCH(A104,ORÇAMENTO.ListaCrono,0),NA())</f>
        <v>136</v>
      </c>
      <c r="F104" s="204" t="str">
        <f t="shared" ref="F104" ca="1" si="214">IF(AND($E105&lt;&gt;-1,$R104&gt;0),"F","")</f>
        <v>F</v>
      </c>
      <c r="G104" s="208">
        <f ca="1">IF(OR(R104=0,R104=""),"Linha",IF(AND(OR(ACOMPANHAMENTO="PLE",$Q104&lt;&gt;2),$E105=0),"Linha",1-SUM(T104:AF104)))</f>
        <v>0</v>
      </c>
      <c r="H104" s="209" t="str">
        <f ca="1">IF($E105=0,OFFSET(ORÇAMENTO!O$15,$E104,0),IF($E105&lt;&gt;-1,OFFSET(QCI!$D$13,$E105,0),""))</f>
        <v>10.1.</v>
      </c>
      <c r="I104" s="210" t="str">
        <f ca="1">IF($E105=0,OFFSET(ORÇAMENTO!R$15,$E104,0),IF($E105&lt;&gt;-1,OFFSET(QCI!$G$13,$E105,0),""))</f>
        <v xml:space="preserve">ALAMBRADO </v>
      </c>
      <c r="J104" s="210"/>
      <c r="K104" s="210"/>
      <c r="L104" s="211">
        <f ca="1">IF($E105=0,OFFSET(ORÇAMENTO!C$15,$E104,0),1)</f>
        <v>2</v>
      </c>
      <c r="M104" s="212">
        <f ca="1">IF($E105=-1,0,IF(M$13&lt;=$L104,IF(ISERROR(MATCH(M$13,OFFSET($L104,1,0,ROW($L$113)-ROW($L104)-1),0)),ROW($L$113)-ROW($L104)-1,MATCH(M$13,OFFSET($L104,1,0,ROW($L$113)-ROW($L104)-1),0)-1),0))</f>
        <v>8</v>
      </c>
      <c r="N104" s="212">
        <f ca="1">IF($E105=-1,0,IF(N$13&lt;=$L104,IF(ISERROR(MATCH(N$13,OFFSET($L104,1,0,ROW($L$113)-ROW($L104)-1),0)),ROW($L$113)-ROW($L104)-1,MATCH(N$13,OFFSET($L104,1,0,ROW($L$113)-ROW($L104)-1),0)-1),0))</f>
        <v>2</v>
      </c>
      <c r="O104" s="212">
        <f ca="1">IF($E105=-1,0,IF(O$13&lt;=$L104,IF(ISERROR(MATCH(O$13,OFFSET($L104,1,0,ROW($L$113)-ROW($L104)-1),0)),ROW($L$113)-ROW($L104)-1,MATCH(O$13,OFFSET($L104,1,0,ROW($L$113)-ROW($L104)-1),0)-1),0))</f>
        <v>0</v>
      </c>
      <c r="P104" s="212">
        <f ca="1">IF($E105=-1,0,IF(P$13&lt;=$L104,IF(ISERROR(MATCH(P$13,OFFSET($L104,1,0,ROW($L$113)-ROW($L104)-1),0)),ROW($L$113)-ROW($L104)-1,MATCH(P$13,OFFSET($L104,1,0,ROW($L$113)-ROW($L104)-1),0)-1),0))</f>
        <v>0</v>
      </c>
      <c r="Q104" s="212">
        <f t="shared" ref="Q104" ca="1" si="215">MIN(OFFSET(L104,0,1,,L104))</f>
        <v>2</v>
      </c>
      <c r="R104" s="213">
        <f ca="1">IF($E105=0,OFFSET(ORÇAMENTO!X$15,$E104,0),IF($E105&lt;&gt;-1,OFFSET(QCI!$O$13,$E105,0),""))</f>
        <v>62669.7</v>
      </c>
      <c r="S104" s="214" t="s">
        <v>270</v>
      </c>
      <c r="T104" s="215">
        <f t="shared" ref="T104:AE104" ca="1" si="216">IF(AND($Q104=2,ACOMPANHAMENTO="BM"),T105,T106/$R104)</f>
        <v>0</v>
      </c>
      <c r="U104" s="207">
        <f t="shared" ca="1" si="216"/>
        <v>0.5</v>
      </c>
      <c r="V104" s="207">
        <f t="shared" ca="1" si="216"/>
        <v>0.5</v>
      </c>
      <c r="W104" s="207">
        <f t="shared" ca="1" si="216"/>
        <v>0</v>
      </c>
      <c r="X104" s="207">
        <f t="shared" ca="1" si="216"/>
        <v>0</v>
      </c>
      <c r="Y104" s="207">
        <f t="shared" ca="1" si="216"/>
        <v>0</v>
      </c>
      <c r="Z104" s="207">
        <f t="shared" ca="1" si="216"/>
        <v>0</v>
      </c>
      <c r="AA104" s="207">
        <f t="shared" ca="1" si="216"/>
        <v>0</v>
      </c>
      <c r="AB104" s="207">
        <f t="shared" ca="1" si="216"/>
        <v>0</v>
      </c>
      <c r="AC104" s="207">
        <f t="shared" ca="1" si="216"/>
        <v>0</v>
      </c>
      <c r="AD104" s="207">
        <f t="shared" ca="1" si="216"/>
        <v>0</v>
      </c>
      <c r="AE104" s="216">
        <f t="shared" ca="1" si="216"/>
        <v>0</v>
      </c>
    </row>
    <row r="105" spans="1:32" ht="12.75" customHeight="1" x14ac:dyDescent="0.2">
      <c r="D105" s="569"/>
      <c r="E105" s="204">
        <f ca="1">IF(ISERROR(E104),IF(1+COUNTIF($L$13:OFFSET(L104,-1,0),1)&lt;=MAX(QCI!$D$13:$D$24),1+COUNTIF($L$13:OFFSET(L104,-1,0),1),-1),0)</f>
        <v>0</v>
      </c>
      <c r="F105" s="204" t="str">
        <f t="shared" ref="F105" ca="1" si="217">IF(AND($E105&lt;&gt;-1,$R104&gt;0),"F","")</f>
        <v>F</v>
      </c>
      <c r="G105" s="217" t="str">
        <f ca="1">IF(OR(R104=0,R104=""),"vazia",IF(AND(OR(ACOMPANHAMENTO="PLE",$Q104&lt;&gt;2),$E105=0),"calculada","--&gt;"))</f>
        <v>--&gt;</v>
      </c>
      <c r="H105" s="218"/>
      <c r="I105" s="219" t="str">
        <f t="shared" ref="I105" ca="1" si="218">IF(AND(G104&lt;&gt;0,ISNUMBER(G104)),"PREENCHA ESTA LINHA --&gt;","")</f>
        <v/>
      </c>
      <c r="J105" s="219"/>
      <c r="K105" s="219"/>
      <c r="L105" s="220"/>
      <c r="M105" s="220"/>
      <c r="N105" s="220"/>
      <c r="O105" s="220"/>
      <c r="P105" s="220"/>
      <c r="Q105" s="220"/>
      <c r="R105" s="221"/>
      <c r="S105" s="222"/>
      <c r="T105" s="570"/>
      <c r="U105" s="569">
        <v>0.5</v>
      </c>
      <c r="V105" s="569">
        <v>0.5</v>
      </c>
      <c r="W105" s="569"/>
      <c r="X105" s="569"/>
      <c r="Y105" s="569"/>
      <c r="Z105" s="569"/>
      <c r="AA105" s="569"/>
      <c r="AB105" s="569"/>
      <c r="AC105" s="569"/>
      <c r="AD105" s="569"/>
      <c r="AE105" s="571"/>
      <c r="AF105" s="533"/>
    </row>
    <row r="106" spans="1:32" ht="0.2" hidden="1" customHeight="1" x14ac:dyDescent="0.2">
      <c r="D106" s="223">
        <f ca="1">IF($Q104=2,IF(AND(ACOMPANHAMENTO="PLE",ISNUMBER($E104)),SUMIF((OFFSET(CÁLCULO!$AM$15:$AW$15,$E104,0,OFFSET(ORÇAMENTO!$D$15,CRONO!$E104,0))),"="&amp;CRONO!D$12,OFFSET(CÁLCULO!$AB$15:$AL$15,$E104,0,OFFSET(ORÇAMENTO!$D$15,CRONO!$E104,0)))+IF(AND($E106&lt;&gt;"",$E106&lt;&gt;0),SUMIF(CÁLCULO!$AM$15:$AW$165,"="&amp;CRONO!D$12,CÁLCULO!$AB$15:$AL$165)/(ORÇAMENTO!$X$15-CÁLCULO.TotalAdmLocal)*CRONO!$E106,0),D105*$R104),SUMIF(OFFSET($R106,1,0,$Q104-2),($L104+1)&amp;"$",OFFSET(D106,1,0,$Q104-2)))</f>
        <v>0</v>
      </c>
      <c r="E106" s="204" t="str">
        <f ca="1">IF(OR($Q104&lt;&gt;2,AUTOEVENTO&lt;&gt;"manual",$E105&gt;0),"",SUMIF(OFFSET(CÁLCULO!$M$15,CRONO!$E104,0,OFFSET(ORÇAMENTO!$D$15,CRONO!$E104,0)),1,OFFSET(ORÇAMENTO!$X$15,CRONO!$E104,0,OFFSET(ORÇAMENTO!$D$15,CRONO!$E104,0))))</f>
        <v/>
      </c>
      <c r="G106" s="224"/>
      <c r="R106" s="225" t="str">
        <f t="shared" ref="R106" ca="1" si="219">L104&amp;"$"</f>
        <v>2$</v>
      </c>
      <c r="S106" s="226"/>
      <c r="T106" s="227">
        <f ca="1">IF($Q104=2,IF(AND(ACOMPANHAMENTO="PLE",ISNUMBER($E104)),SUMIF((OFFSET(CÁLCULO!$AM$15:$AW$15,$E104,0,OFFSET(ORÇAMENTO!$D$15,CRONO!$E104,0))),"&lt;="&amp;CRONO!T$12,OFFSET(CÁLCULO!$AB$15:$AL$15,$E104,0,OFFSET(ORÇAMENTO!$D$15,CRONO!$E104,0)))+IF(AND($E106&lt;&gt;"",$E106&lt;&gt;0),SUMIF(CÁLCULO!$AM$15:$AW$165,"&lt;="&amp;CRONO!T$12,CÁLCULO!$AB$15:$AL$165)/(ORÇAMENTO!$X$15-CÁLCULO.TotalAdmLocal)*CRONO!$E106,0),T105*$R104),SUMIF(OFFSET($R106,1,0,$Q104-2),($L104+1)&amp;"$",OFFSET(T106,1,0,$Q104-2)))</f>
        <v>0</v>
      </c>
      <c r="U106" s="223">
        <f ca="1">IF($Q104=2,IF(AND(ACOMPANHAMENTO="PLE",ISNUMBER($E104)),SUMIF((OFFSET(CÁLCULO!$AM$15:$AW$15,$E104,0,OFFSET(ORÇAMENTO!$D$15,CRONO!$E104,0))),"="&amp;CRONO!U$12,OFFSET(CÁLCULO!$AB$15:$AL$15,$E104,0,OFFSET(ORÇAMENTO!$D$15,CRONO!$E104,0)))+IF(AND($E106&lt;&gt;"",$E106&lt;&gt;0),SUMIF(CÁLCULO!$AM$15:$AW$165,"="&amp;CRONO!U$12,CÁLCULO!$AB$15:$AL$165)/(ORÇAMENTO!$X$15-CÁLCULO.TotalAdmLocal)*CRONO!$E106,0),U105*$R104),SUMIF(OFFSET($R106,1,0,$Q104-2),($L104+1)&amp;"$",OFFSET(U106,1,0,$Q104-2)))</f>
        <v>31334.85</v>
      </c>
      <c r="V106" s="223">
        <f ca="1">IF($Q104=2,IF(AND(ACOMPANHAMENTO="PLE",ISNUMBER($E104)),SUMIF((OFFSET(CÁLCULO!$AM$15:$AW$15,$E104,0,OFFSET(ORÇAMENTO!$D$15,CRONO!$E104,0))),"="&amp;CRONO!V$12,OFFSET(CÁLCULO!$AB$15:$AL$15,$E104,0,OFFSET(ORÇAMENTO!$D$15,CRONO!$E104,0)))+IF(AND($E106&lt;&gt;"",$E106&lt;&gt;0),SUMIF(CÁLCULO!$AM$15:$AW$165,"="&amp;CRONO!V$12,CÁLCULO!$AB$15:$AL$165)/(ORÇAMENTO!$X$15-CÁLCULO.TotalAdmLocal)*CRONO!$E106,0),V105*$R104),SUMIF(OFFSET($R106,1,0,$Q104-2),($L104+1)&amp;"$",OFFSET(V106,1,0,$Q104-2)))</f>
        <v>31334.85</v>
      </c>
      <c r="W106" s="223">
        <f ca="1">IF($Q104=2,IF(AND(ACOMPANHAMENTO="PLE",ISNUMBER($E104)),SUMIF((OFFSET(CÁLCULO!$AM$15:$AW$15,$E104,0,OFFSET(ORÇAMENTO!$D$15,CRONO!$E104,0))),"="&amp;CRONO!W$12,OFFSET(CÁLCULO!$AB$15:$AL$15,$E104,0,OFFSET(ORÇAMENTO!$D$15,CRONO!$E104,0)))+IF(AND($E106&lt;&gt;"",$E106&lt;&gt;0),SUMIF(CÁLCULO!$AM$15:$AW$165,"="&amp;CRONO!W$12,CÁLCULO!$AB$15:$AL$165)/(ORÇAMENTO!$X$15-CÁLCULO.TotalAdmLocal)*CRONO!$E106,0),W105*$R104),SUMIF(OFFSET($R106,1,0,$Q104-2),($L104+1)&amp;"$",OFFSET(W106,1,0,$Q104-2)))</f>
        <v>0</v>
      </c>
      <c r="X106" s="223">
        <f ca="1">IF($Q104=2,IF(AND(ACOMPANHAMENTO="PLE",ISNUMBER($E104)),SUMIF((OFFSET(CÁLCULO!$AM$15:$AW$15,$E104,0,OFFSET(ORÇAMENTO!$D$15,CRONO!$E104,0))),"="&amp;CRONO!X$12,OFFSET(CÁLCULO!$AB$15:$AL$15,$E104,0,OFFSET(ORÇAMENTO!$D$15,CRONO!$E104,0)))+IF(AND($E106&lt;&gt;"",$E106&lt;&gt;0),SUMIF(CÁLCULO!$AM$15:$AW$165,"="&amp;CRONO!X$12,CÁLCULO!$AB$15:$AL$165)/(ORÇAMENTO!$X$15-CÁLCULO.TotalAdmLocal)*CRONO!$E106,0),X105*$R104),SUMIF(OFFSET($R106,1,0,$Q104-2),($L104+1)&amp;"$",OFFSET(X106,1,0,$Q104-2)))</f>
        <v>0</v>
      </c>
      <c r="Y106" s="223">
        <f ca="1">IF($Q104=2,IF(AND(ACOMPANHAMENTO="PLE",ISNUMBER($E104)),SUMIF((OFFSET(CÁLCULO!$AM$15:$AW$15,$E104,0,OFFSET(ORÇAMENTO!$D$15,CRONO!$E104,0))),"="&amp;CRONO!Y$12,OFFSET(CÁLCULO!$AB$15:$AL$15,$E104,0,OFFSET(ORÇAMENTO!$D$15,CRONO!$E104,0)))+IF(AND($E106&lt;&gt;"",$E106&lt;&gt;0),SUMIF(CÁLCULO!$AM$15:$AW$165,"="&amp;CRONO!Y$12,CÁLCULO!$AB$15:$AL$165)/(ORÇAMENTO!$X$15-CÁLCULO.TotalAdmLocal)*CRONO!$E106,0),Y105*$R104),SUMIF(OFFSET($R106,1,0,$Q104-2),($L104+1)&amp;"$",OFFSET(Y106,1,0,$Q104-2)))</f>
        <v>0</v>
      </c>
      <c r="Z106" s="223">
        <f ca="1">IF($Q104=2,IF(AND(ACOMPANHAMENTO="PLE",ISNUMBER($E104)),SUMIF((OFFSET(CÁLCULO!$AM$15:$AW$15,$E104,0,OFFSET(ORÇAMENTO!$D$15,CRONO!$E104,0))),"="&amp;CRONO!Z$12,OFFSET(CÁLCULO!$AB$15:$AL$15,$E104,0,OFFSET(ORÇAMENTO!$D$15,CRONO!$E104,0)))+IF(AND($E106&lt;&gt;"",$E106&lt;&gt;0),SUMIF(CÁLCULO!$AM$15:$AW$165,"="&amp;CRONO!Z$12,CÁLCULO!$AB$15:$AL$165)/(ORÇAMENTO!$X$15-CÁLCULO.TotalAdmLocal)*CRONO!$E106,0),Z105*$R104),SUMIF(OFFSET($R106,1,0,$Q104-2),($L104+1)&amp;"$",OFFSET(Z106,1,0,$Q104-2)))</f>
        <v>0</v>
      </c>
      <c r="AA106" s="223">
        <f ca="1">IF($Q104=2,IF(AND(ACOMPANHAMENTO="PLE",ISNUMBER($E104)),SUMIF((OFFSET(CÁLCULO!$AM$15:$AW$15,$E104,0,OFFSET(ORÇAMENTO!$D$15,CRONO!$E104,0))),"="&amp;CRONO!AA$12,OFFSET(CÁLCULO!$AB$15:$AL$15,$E104,0,OFFSET(ORÇAMENTO!$D$15,CRONO!$E104,0)))+IF(AND($E106&lt;&gt;"",$E106&lt;&gt;0),SUMIF(CÁLCULO!$AM$15:$AW$165,"="&amp;CRONO!AA$12,CÁLCULO!$AB$15:$AL$165)/(ORÇAMENTO!$X$15-CÁLCULO.TotalAdmLocal)*CRONO!$E106,0),AA105*$R104),SUMIF(OFFSET($R106,1,0,$Q104-2),($L104+1)&amp;"$",OFFSET(AA106,1,0,$Q104-2)))</f>
        <v>0</v>
      </c>
      <c r="AB106" s="223">
        <f ca="1">IF($Q104=2,IF(AND(ACOMPANHAMENTO="PLE",ISNUMBER($E104)),SUMIF((OFFSET(CÁLCULO!$AM$15:$AW$15,$E104,0,OFFSET(ORÇAMENTO!$D$15,CRONO!$E104,0))),"="&amp;CRONO!AB$12,OFFSET(CÁLCULO!$AB$15:$AL$15,$E104,0,OFFSET(ORÇAMENTO!$D$15,CRONO!$E104,0)))+IF(AND($E106&lt;&gt;"",$E106&lt;&gt;0),SUMIF(CÁLCULO!$AM$15:$AW$165,"="&amp;CRONO!AB$12,CÁLCULO!$AB$15:$AL$165)/(ORÇAMENTO!$X$15-CÁLCULO.TotalAdmLocal)*CRONO!$E106,0),AB105*$R104),SUMIF(OFFSET($R106,1,0,$Q104-2),($L104+1)&amp;"$",OFFSET(AB106,1,0,$Q104-2)))</f>
        <v>0</v>
      </c>
      <c r="AC106" s="223">
        <f ca="1">IF($Q104=2,IF(AND(ACOMPANHAMENTO="PLE",ISNUMBER($E104)),SUMIF((OFFSET(CÁLCULO!$AM$15:$AW$15,$E104,0,OFFSET(ORÇAMENTO!$D$15,CRONO!$E104,0))),"="&amp;CRONO!AC$12,OFFSET(CÁLCULO!$AB$15:$AL$15,$E104,0,OFFSET(ORÇAMENTO!$D$15,CRONO!$E104,0)))+IF(AND($E106&lt;&gt;"",$E106&lt;&gt;0),SUMIF(CÁLCULO!$AM$15:$AW$165,"="&amp;CRONO!AC$12,CÁLCULO!$AB$15:$AL$165)/(ORÇAMENTO!$X$15-CÁLCULO.TotalAdmLocal)*CRONO!$E106,0),AC105*$R104),SUMIF(OFFSET($R106,1,0,$Q104-2),($L104+1)&amp;"$",OFFSET(AC106,1,0,$Q104-2)))</f>
        <v>0</v>
      </c>
      <c r="AD106" s="223">
        <f ca="1">IF($Q104=2,IF(AND(ACOMPANHAMENTO="PLE",ISNUMBER($E104)),SUMIF((OFFSET(CÁLCULO!$AM$15:$AW$15,$E104,0,OFFSET(ORÇAMENTO!$D$15,CRONO!$E104,0))),"="&amp;CRONO!AD$12,OFFSET(CÁLCULO!$AB$15:$AL$15,$E104,0,OFFSET(ORÇAMENTO!$D$15,CRONO!$E104,0)))+IF(AND($E106&lt;&gt;"",$E106&lt;&gt;0),SUMIF(CÁLCULO!$AM$15:$AW$165,"="&amp;CRONO!AD$12,CÁLCULO!$AB$15:$AL$165)/(ORÇAMENTO!$X$15-CÁLCULO.TotalAdmLocal)*CRONO!$E106,0),AD105*$R104),SUMIF(OFFSET($R106,1,0,$Q104-2),($L104+1)&amp;"$",OFFSET(AD106,1,0,$Q104-2)))</f>
        <v>0</v>
      </c>
      <c r="AE106" s="228">
        <f ca="1">IF($Q104=2,IF(AND(ACOMPANHAMENTO="PLE",ISNUMBER($E104)),SUMIF((OFFSET(CÁLCULO!$AM$15:$AW$15,$E104,0,OFFSET(ORÇAMENTO!$D$15,CRONO!$E104,0))),"="&amp;CRONO!AE$12,OFFSET(CÁLCULO!$AB$15:$AL$15,$E104,0,OFFSET(ORÇAMENTO!$D$15,CRONO!$E104,0)))+IF(AND($E106&lt;&gt;"",$E106&lt;&gt;0),SUMIF(CÁLCULO!$AM$15:$AW$165,"="&amp;CRONO!AE$12,CÁLCULO!$AB$15:$AL$165)/(ORÇAMENTO!$X$15-CÁLCULO.TotalAdmLocal)*CRONO!$E106,0),AE105*$R104),SUMIF(OFFSET($R106,1,0,$Q104-2),($L104+1)&amp;"$",OFFSET(AE106,1,0,$Q104-2)))</f>
        <v>0</v>
      </c>
    </row>
    <row r="107" spans="1:32" x14ac:dyDescent="0.2">
      <c r="A107" s="204">
        <f t="shared" ref="A107" ca="1" si="220">OFFSET(A107,-3,0)+1</f>
        <v>32</v>
      </c>
      <c r="B107" s="204">
        <f ca="1">IF($Q107&lt;&gt;2,0,IF($R107=0,1,IF(E108&gt;0,OFFSET(QCI!$M$13,SUBSTITUTE(E108,".",""),0),OFFSET(ORÇAMENTO!$AA$15,CRONO!$E107,0))/$R107))</f>
        <v>1</v>
      </c>
      <c r="C107" s="204">
        <f ca="1">IF($Q107&lt;&gt;2,0,IF($R107=0,1,IF(E108&gt;0,OFFSET(QCI!$N$13,SUBSTITUTE(E108,".",""),0),OFFSET(ORÇAMENTO!$AB$15,CRONO!$E107,0))/$R107))</f>
        <v>0</v>
      </c>
      <c r="D107" s="207">
        <f ca="1">IF(AND($Q107=2,ACOMPANHAMENTO="BM"),D108,D109/$R107)</f>
        <v>0</v>
      </c>
      <c r="E107" s="204">
        <f ca="1">IF(A107&lt;=ORÇAMENTO.MáximoListaCrono,MATCH(A107,ORÇAMENTO.ListaCrono,0),NA())</f>
        <v>141</v>
      </c>
      <c r="F107" s="204" t="str">
        <f t="shared" ref="F107" ca="1" si="221">IF(AND($E108&lt;&gt;-1,$R107&gt;0),"F","")</f>
        <v>F</v>
      </c>
      <c r="G107" s="208">
        <f ca="1">IF(OR(R107=0,R107=""),"Linha",IF(AND(OR(ACOMPANHAMENTO="PLE",$Q107&lt;&gt;2),$E108=0),"Linha",1-SUM(T107:AF107)))</f>
        <v>0</v>
      </c>
      <c r="H107" s="209" t="str">
        <f ca="1">IF($E108=0,OFFSET(ORÇAMENTO!O$15,$E107,0),IF($E108&lt;&gt;-1,OFFSET(QCI!$D$13,$E108,0),""))</f>
        <v>10.2.</v>
      </c>
      <c r="I107" s="210" t="str">
        <f ca="1">IF($E108=0,OFFSET(ORÇAMENTO!R$15,$E107,0),IF($E108&lt;&gt;-1,OFFSET(QCI!$G$13,$E108,0),""))</f>
        <v>ILUMINAÇÃO</v>
      </c>
      <c r="J107" s="210"/>
      <c r="K107" s="210"/>
      <c r="L107" s="211">
        <f ca="1">IF($E108=0,OFFSET(ORÇAMENTO!C$15,$E107,0),1)</f>
        <v>2</v>
      </c>
      <c r="M107" s="212">
        <f ca="1">IF($E108=-1,0,IF(M$13&lt;=$L107,IF(ISERROR(MATCH(M$13,OFFSET($L107,1,0,ROW($L$113)-ROW($L107)-1),0)),ROW($L$113)-ROW($L107)-1,MATCH(M$13,OFFSET($L107,1,0,ROW($L$113)-ROW($L107)-1),0)-1),0))</f>
        <v>5</v>
      </c>
      <c r="N107" s="212">
        <f ca="1">IF($E108=-1,0,IF(N$13&lt;=$L107,IF(ISERROR(MATCH(N$13,OFFSET($L107,1,0,ROW($L$113)-ROW($L107)-1),0)),ROW($L$113)-ROW($L107)-1,MATCH(N$13,OFFSET($L107,1,0,ROW($L$113)-ROW($L107)-1),0)-1),0))</f>
        <v>2</v>
      </c>
      <c r="O107" s="212">
        <f ca="1">IF($E108=-1,0,IF(O$13&lt;=$L107,IF(ISERROR(MATCH(O$13,OFFSET($L107,1,0,ROW($L$113)-ROW($L107)-1),0)),ROW($L$113)-ROW($L107)-1,MATCH(O$13,OFFSET($L107,1,0,ROW($L$113)-ROW($L107)-1),0)-1),0))</f>
        <v>0</v>
      </c>
      <c r="P107" s="212">
        <f ca="1">IF($E108=-1,0,IF(P$13&lt;=$L107,IF(ISERROR(MATCH(P$13,OFFSET($L107,1,0,ROW($L$113)-ROW($L107)-1),0)),ROW($L$113)-ROW($L107)-1,MATCH(P$13,OFFSET($L107,1,0,ROW($L$113)-ROW($L107)-1),0)-1),0))</f>
        <v>0</v>
      </c>
      <c r="Q107" s="212">
        <f t="shared" ref="Q107" ca="1" si="222">MIN(OFFSET(L107,0,1,,L107))</f>
        <v>2</v>
      </c>
      <c r="R107" s="213">
        <f ca="1">IF($E108=0,OFFSET(ORÇAMENTO!X$15,$E107,0),IF($E108&lt;&gt;-1,OFFSET(QCI!$O$13,$E108,0),""))</f>
        <v>7038</v>
      </c>
      <c r="S107" s="214" t="s">
        <v>270</v>
      </c>
      <c r="T107" s="215">
        <f t="shared" ref="T107:AE107" ca="1" si="223">IF(AND($Q107=2,ACOMPANHAMENTO="BM"),T108,T109/$R107)</f>
        <v>0.1</v>
      </c>
      <c r="U107" s="207">
        <f t="shared" ca="1" si="223"/>
        <v>0.3</v>
      </c>
      <c r="V107" s="207">
        <f t="shared" ca="1" si="223"/>
        <v>0.6</v>
      </c>
      <c r="W107" s="207">
        <f t="shared" ca="1" si="223"/>
        <v>0</v>
      </c>
      <c r="X107" s="207">
        <f t="shared" ca="1" si="223"/>
        <v>0</v>
      </c>
      <c r="Y107" s="207">
        <f t="shared" ca="1" si="223"/>
        <v>0</v>
      </c>
      <c r="Z107" s="207">
        <f t="shared" ca="1" si="223"/>
        <v>0</v>
      </c>
      <c r="AA107" s="207">
        <f t="shared" ca="1" si="223"/>
        <v>0</v>
      </c>
      <c r="AB107" s="207">
        <f t="shared" ca="1" si="223"/>
        <v>0</v>
      </c>
      <c r="AC107" s="207">
        <f t="shared" ca="1" si="223"/>
        <v>0</v>
      </c>
      <c r="AD107" s="207">
        <f t="shared" ca="1" si="223"/>
        <v>0</v>
      </c>
      <c r="AE107" s="216">
        <f t="shared" ca="1" si="223"/>
        <v>0</v>
      </c>
    </row>
    <row r="108" spans="1:32" ht="12.75" customHeight="1" x14ac:dyDescent="0.2">
      <c r="D108" s="569"/>
      <c r="E108" s="204">
        <f ca="1">IF(ISERROR(E107),IF(1+COUNTIF($L$13:OFFSET(L107,-1,0),1)&lt;=MAX(QCI!$D$13:$D$24),1+COUNTIF($L$13:OFFSET(L107,-1,0),1),-1),0)</f>
        <v>0</v>
      </c>
      <c r="F108" s="204" t="str">
        <f t="shared" ref="F108" ca="1" si="224">IF(AND($E108&lt;&gt;-1,$R107&gt;0),"F","")</f>
        <v>F</v>
      </c>
      <c r="G108" s="217" t="str">
        <f ca="1">IF(OR(R107=0,R107=""),"vazia",IF(AND(OR(ACOMPANHAMENTO="PLE",$Q107&lt;&gt;2),$E108=0),"calculada","--&gt;"))</f>
        <v>--&gt;</v>
      </c>
      <c r="H108" s="218"/>
      <c r="I108" s="219" t="str">
        <f t="shared" ref="I108" ca="1" si="225">IF(AND(G107&lt;&gt;0,ISNUMBER(G107)),"PREENCHA ESTA LINHA --&gt;","")</f>
        <v/>
      </c>
      <c r="J108" s="219"/>
      <c r="K108" s="219"/>
      <c r="L108" s="220"/>
      <c r="M108" s="220"/>
      <c r="N108" s="220"/>
      <c r="O108" s="220"/>
      <c r="P108" s="220"/>
      <c r="Q108" s="220"/>
      <c r="R108" s="221"/>
      <c r="S108" s="222"/>
      <c r="T108" s="570">
        <v>0.1</v>
      </c>
      <c r="U108" s="569">
        <v>0.3</v>
      </c>
      <c r="V108" s="569">
        <v>0.6</v>
      </c>
      <c r="W108" s="569"/>
      <c r="X108" s="569"/>
      <c r="Y108" s="569"/>
      <c r="Z108" s="569"/>
      <c r="AA108" s="569"/>
      <c r="AB108" s="569"/>
      <c r="AC108" s="569"/>
      <c r="AD108" s="569"/>
      <c r="AE108" s="571"/>
      <c r="AF108" s="533"/>
    </row>
    <row r="109" spans="1:32" ht="0.2" hidden="1" customHeight="1" x14ac:dyDescent="0.2">
      <c r="D109" s="223">
        <f ca="1">IF($Q107=2,IF(AND(ACOMPANHAMENTO="PLE",ISNUMBER($E107)),SUMIF((OFFSET(CÁLCULO!$AM$15:$AW$15,$E107,0,OFFSET(ORÇAMENTO!$D$15,CRONO!$E107,0))),"="&amp;CRONO!D$12,OFFSET(CÁLCULO!$AB$15:$AL$15,$E107,0,OFFSET(ORÇAMENTO!$D$15,CRONO!$E107,0)))+IF(AND($E109&lt;&gt;"",$E109&lt;&gt;0),SUMIF(CÁLCULO!$AM$15:$AW$165,"="&amp;CRONO!D$12,CÁLCULO!$AB$15:$AL$165)/(ORÇAMENTO!$X$15-CÁLCULO.TotalAdmLocal)*CRONO!$E109,0),D108*$R107),SUMIF(OFFSET($R109,1,0,$Q107-2),($L107+1)&amp;"$",OFFSET(D109,1,0,$Q107-2)))</f>
        <v>0</v>
      </c>
      <c r="E109" s="204" t="str">
        <f ca="1">IF(OR($Q107&lt;&gt;2,AUTOEVENTO&lt;&gt;"manual",$E108&gt;0),"",SUMIF(OFFSET(CÁLCULO!$M$15,CRONO!$E107,0,OFFSET(ORÇAMENTO!$D$15,CRONO!$E107,0)),1,OFFSET(ORÇAMENTO!$X$15,CRONO!$E107,0,OFFSET(ORÇAMENTO!$D$15,CRONO!$E107,0))))</f>
        <v/>
      </c>
      <c r="G109" s="224"/>
      <c r="R109" s="225" t="str">
        <f t="shared" ref="R109" ca="1" si="226">L107&amp;"$"</f>
        <v>2$</v>
      </c>
      <c r="S109" s="226"/>
      <c r="T109" s="227">
        <f ca="1">IF($Q107=2,IF(AND(ACOMPANHAMENTO="PLE",ISNUMBER($E107)),SUMIF((OFFSET(CÁLCULO!$AM$15:$AW$15,$E107,0,OFFSET(ORÇAMENTO!$D$15,CRONO!$E107,0))),"&lt;="&amp;CRONO!T$12,OFFSET(CÁLCULO!$AB$15:$AL$15,$E107,0,OFFSET(ORÇAMENTO!$D$15,CRONO!$E107,0)))+IF(AND($E109&lt;&gt;"",$E109&lt;&gt;0),SUMIF(CÁLCULO!$AM$15:$AW$165,"&lt;="&amp;CRONO!T$12,CÁLCULO!$AB$15:$AL$165)/(ORÇAMENTO!$X$15-CÁLCULO.TotalAdmLocal)*CRONO!$E109,0),T108*$R107),SUMIF(OFFSET($R109,1,0,$Q107-2),($L107+1)&amp;"$",OFFSET(T109,1,0,$Q107-2)))</f>
        <v>703.80000000000007</v>
      </c>
      <c r="U109" s="223">
        <f ca="1">IF($Q107=2,IF(AND(ACOMPANHAMENTO="PLE",ISNUMBER($E107)),SUMIF((OFFSET(CÁLCULO!$AM$15:$AW$15,$E107,0,OFFSET(ORÇAMENTO!$D$15,CRONO!$E107,0))),"="&amp;CRONO!U$12,OFFSET(CÁLCULO!$AB$15:$AL$15,$E107,0,OFFSET(ORÇAMENTO!$D$15,CRONO!$E107,0)))+IF(AND($E109&lt;&gt;"",$E109&lt;&gt;0),SUMIF(CÁLCULO!$AM$15:$AW$165,"="&amp;CRONO!U$12,CÁLCULO!$AB$15:$AL$165)/(ORÇAMENTO!$X$15-CÁLCULO.TotalAdmLocal)*CRONO!$E109,0),U108*$R107),SUMIF(OFFSET($R109,1,0,$Q107-2),($L107+1)&amp;"$",OFFSET(U109,1,0,$Q107-2)))</f>
        <v>2111.4</v>
      </c>
      <c r="V109" s="223">
        <f ca="1">IF($Q107=2,IF(AND(ACOMPANHAMENTO="PLE",ISNUMBER($E107)),SUMIF((OFFSET(CÁLCULO!$AM$15:$AW$15,$E107,0,OFFSET(ORÇAMENTO!$D$15,CRONO!$E107,0))),"="&amp;CRONO!V$12,OFFSET(CÁLCULO!$AB$15:$AL$15,$E107,0,OFFSET(ORÇAMENTO!$D$15,CRONO!$E107,0)))+IF(AND($E109&lt;&gt;"",$E109&lt;&gt;0),SUMIF(CÁLCULO!$AM$15:$AW$165,"="&amp;CRONO!V$12,CÁLCULO!$AB$15:$AL$165)/(ORÇAMENTO!$X$15-CÁLCULO.TotalAdmLocal)*CRONO!$E109,0),V108*$R107),SUMIF(OFFSET($R109,1,0,$Q107-2),($L107+1)&amp;"$",OFFSET(V109,1,0,$Q107-2)))</f>
        <v>4222.8</v>
      </c>
      <c r="W109" s="223">
        <f ca="1">IF($Q107=2,IF(AND(ACOMPANHAMENTO="PLE",ISNUMBER($E107)),SUMIF((OFFSET(CÁLCULO!$AM$15:$AW$15,$E107,0,OFFSET(ORÇAMENTO!$D$15,CRONO!$E107,0))),"="&amp;CRONO!W$12,OFFSET(CÁLCULO!$AB$15:$AL$15,$E107,0,OFFSET(ORÇAMENTO!$D$15,CRONO!$E107,0)))+IF(AND($E109&lt;&gt;"",$E109&lt;&gt;0),SUMIF(CÁLCULO!$AM$15:$AW$165,"="&amp;CRONO!W$12,CÁLCULO!$AB$15:$AL$165)/(ORÇAMENTO!$X$15-CÁLCULO.TotalAdmLocal)*CRONO!$E109,0),W108*$R107),SUMIF(OFFSET($R109,1,0,$Q107-2),($L107+1)&amp;"$",OFFSET(W109,1,0,$Q107-2)))</f>
        <v>0</v>
      </c>
      <c r="X109" s="223">
        <f ca="1">IF($Q107=2,IF(AND(ACOMPANHAMENTO="PLE",ISNUMBER($E107)),SUMIF((OFFSET(CÁLCULO!$AM$15:$AW$15,$E107,0,OFFSET(ORÇAMENTO!$D$15,CRONO!$E107,0))),"="&amp;CRONO!X$12,OFFSET(CÁLCULO!$AB$15:$AL$15,$E107,0,OFFSET(ORÇAMENTO!$D$15,CRONO!$E107,0)))+IF(AND($E109&lt;&gt;"",$E109&lt;&gt;0),SUMIF(CÁLCULO!$AM$15:$AW$165,"="&amp;CRONO!X$12,CÁLCULO!$AB$15:$AL$165)/(ORÇAMENTO!$X$15-CÁLCULO.TotalAdmLocal)*CRONO!$E109,0),X108*$R107),SUMIF(OFFSET($R109,1,0,$Q107-2),($L107+1)&amp;"$",OFFSET(X109,1,0,$Q107-2)))</f>
        <v>0</v>
      </c>
      <c r="Y109" s="223">
        <f ca="1">IF($Q107=2,IF(AND(ACOMPANHAMENTO="PLE",ISNUMBER($E107)),SUMIF((OFFSET(CÁLCULO!$AM$15:$AW$15,$E107,0,OFFSET(ORÇAMENTO!$D$15,CRONO!$E107,0))),"="&amp;CRONO!Y$12,OFFSET(CÁLCULO!$AB$15:$AL$15,$E107,0,OFFSET(ORÇAMENTO!$D$15,CRONO!$E107,0)))+IF(AND($E109&lt;&gt;"",$E109&lt;&gt;0),SUMIF(CÁLCULO!$AM$15:$AW$165,"="&amp;CRONO!Y$12,CÁLCULO!$AB$15:$AL$165)/(ORÇAMENTO!$X$15-CÁLCULO.TotalAdmLocal)*CRONO!$E109,0),Y108*$R107),SUMIF(OFFSET($R109,1,0,$Q107-2),($L107+1)&amp;"$",OFFSET(Y109,1,0,$Q107-2)))</f>
        <v>0</v>
      </c>
      <c r="Z109" s="223">
        <f ca="1">IF($Q107=2,IF(AND(ACOMPANHAMENTO="PLE",ISNUMBER($E107)),SUMIF((OFFSET(CÁLCULO!$AM$15:$AW$15,$E107,0,OFFSET(ORÇAMENTO!$D$15,CRONO!$E107,0))),"="&amp;CRONO!Z$12,OFFSET(CÁLCULO!$AB$15:$AL$15,$E107,0,OFFSET(ORÇAMENTO!$D$15,CRONO!$E107,0)))+IF(AND($E109&lt;&gt;"",$E109&lt;&gt;0),SUMIF(CÁLCULO!$AM$15:$AW$165,"="&amp;CRONO!Z$12,CÁLCULO!$AB$15:$AL$165)/(ORÇAMENTO!$X$15-CÁLCULO.TotalAdmLocal)*CRONO!$E109,0),Z108*$R107),SUMIF(OFFSET($R109,1,0,$Q107-2),($L107+1)&amp;"$",OFFSET(Z109,1,0,$Q107-2)))</f>
        <v>0</v>
      </c>
      <c r="AA109" s="223">
        <f ca="1">IF($Q107=2,IF(AND(ACOMPANHAMENTO="PLE",ISNUMBER($E107)),SUMIF((OFFSET(CÁLCULO!$AM$15:$AW$15,$E107,0,OFFSET(ORÇAMENTO!$D$15,CRONO!$E107,0))),"="&amp;CRONO!AA$12,OFFSET(CÁLCULO!$AB$15:$AL$15,$E107,0,OFFSET(ORÇAMENTO!$D$15,CRONO!$E107,0)))+IF(AND($E109&lt;&gt;"",$E109&lt;&gt;0),SUMIF(CÁLCULO!$AM$15:$AW$165,"="&amp;CRONO!AA$12,CÁLCULO!$AB$15:$AL$165)/(ORÇAMENTO!$X$15-CÁLCULO.TotalAdmLocal)*CRONO!$E109,0),AA108*$R107),SUMIF(OFFSET($R109,1,0,$Q107-2),($L107+1)&amp;"$",OFFSET(AA109,1,0,$Q107-2)))</f>
        <v>0</v>
      </c>
      <c r="AB109" s="223">
        <f ca="1">IF($Q107=2,IF(AND(ACOMPANHAMENTO="PLE",ISNUMBER($E107)),SUMIF((OFFSET(CÁLCULO!$AM$15:$AW$15,$E107,0,OFFSET(ORÇAMENTO!$D$15,CRONO!$E107,0))),"="&amp;CRONO!AB$12,OFFSET(CÁLCULO!$AB$15:$AL$15,$E107,0,OFFSET(ORÇAMENTO!$D$15,CRONO!$E107,0)))+IF(AND($E109&lt;&gt;"",$E109&lt;&gt;0),SUMIF(CÁLCULO!$AM$15:$AW$165,"="&amp;CRONO!AB$12,CÁLCULO!$AB$15:$AL$165)/(ORÇAMENTO!$X$15-CÁLCULO.TotalAdmLocal)*CRONO!$E109,0),AB108*$R107),SUMIF(OFFSET($R109,1,0,$Q107-2),($L107+1)&amp;"$",OFFSET(AB109,1,0,$Q107-2)))</f>
        <v>0</v>
      </c>
      <c r="AC109" s="223">
        <f ca="1">IF($Q107=2,IF(AND(ACOMPANHAMENTO="PLE",ISNUMBER($E107)),SUMIF((OFFSET(CÁLCULO!$AM$15:$AW$15,$E107,0,OFFSET(ORÇAMENTO!$D$15,CRONO!$E107,0))),"="&amp;CRONO!AC$12,OFFSET(CÁLCULO!$AB$15:$AL$15,$E107,0,OFFSET(ORÇAMENTO!$D$15,CRONO!$E107,0)))+IF(AND($E109&lt;&gt;"",$E109&lt;&gt;0),SUMIF(CÁLCULO!$AM$15:$AW$165,"="&amp;CRONO!AC$12,CÁLCULO!$AB$15:$AL$165)/(ORÇAMENTO!$X$15-CÁLCULO.TotalAdmLocal)*CRONO!$E109,0),AC108*$R107),SUMIF(OFFSET($R109,1,0,$Q107-2),($L107+1)&amp;"$",OFFSET(AC109,1,0,$Q107-2)))</f>
        <v>0</v>
      </c>
      <c r="AD109" s="223">
        <f ca="1">IF($Q107=2,IF(AND(ACOMPANHAMENTO="PLE",ISNUMBER($E107)),SUMIF((OFFSET(CÁLCULO!$AM$15:$AW$15,$E107,0,OFFSET(ORÇAMENTO!$D$15,CRONO!$E107,0))),"="&amp;CRONO!AD$12,OFFSET(CÁLCULO!$AB$15:$AL$15,$E107,0,OFFSET(ORÇAMENTO!$D$15,CRONO!$E107,0)))+IF(AND($E109&lt;&gt;"",$E109&lt;&gt;0),SUMIF(CÁLCULO!$AM$15:$AW$165,"="&amp;CRONO!AD$12,CÁLCULO!$AB$15:$AL$165)/(ORÇAMENTO!$X$15-CÁLCULO.TotalAdmLocal)*CRONO!$E109,0),AD108*$R107),SUMIF(OFFSET($R109,1,0,$Q107-2),($L107+1)&amp;"$",OFFSET(AD109,1,0,$Q107-2)))</f>
        <v>0</v>
      </c>
      <c r="AE109" s="228">
        <f ca="1">IF($Q107=2,IF(AND(ACOMPANHAMENTO="PLE",ISNUMBER($E107)),SUMIF((OFFSET(CÁLCULO!$AM$15:$AW$15,$E107,0,OFFSET(ORÇAMENTO!$D$15,CRONO!$E107,0))),"="&amp;CRONO!AE$12,OFFSET(CÁLCULO!$AB$15:$AL$15,$E107,0,OFFSET(ORÇAMENTO!$D$15,CRONO!$E107,0)))+IF(AND($E109&lt;&gt;"",$E109&lt;&gt;0),SUMIF(CÁLCULO!$AM$15:$AW$165,"="&amp;CRONO!AE$12,CÁLCULO!$AB$15:$AL$165)/(ORÇAMENTO!$X$15-CÁLCULO.TotalAdmLocal)*CRONO!$E109,0),AE108*$R107),SUMIF(OFFSET($R109,1,0,$Q107-2),($L107+1)&amp;"$",OFFSET(AE109,1,0,$Q107-2)))</f>
        <v>0</v>
      </c>
    </row>
    <row r="110" spans="1:32" x14ac:dyDescent="0.2">
      <c r="A110" s="204">
        <f ca="1">OFFSET(A110,-3,0)+1</f>
        <v>33</v>
      </c>
      <c r="B110" s="204">
        <f ca="1">IF($Q110&lt;&gt;2,0,IF($R110=0,1,IF(E111&gt;0,OFFSET(QCI!$M$13,SUBSTITUTE(E111,".",""),0),OFFSET(ORÇAMENTO!$AA$15,CRONO!$E110,0))/$R110))</f>
        <v>1</v>
      </c>
      <c r="C110" s="204">
        <f ca="1">IF($Q110&lt;&gt;2,0,IF($R110=0,1,IF(E111&gt;0,OFFSET(QCI!$N$13,SUBSTITUTE(E111,".",""),0),OFFSET(ORÇAMENTO!$AB$15,CRONO!$E110,0))/$R110))</f>
        <v>0</v>
      </c>
      <c r="D110" s="207">
        <f ca="1">IF(AND($Q110=2,ACOMPANHAMENTO="BM"),D111,D112/$R110)</f>
        <v>0</v>
      </c>
      <c r="E110" s="204">
        <f ca="1">IF(A110&lt;=ORÇAMENTO.MáximoListaCrono,MATCH(A110,ORÇAMENTO.ListaCrono,0),NA())</f>
        <v>148</v>
      </c>
      <c r="F110" s="204" t="str">
        <f ca="1">IF(AND($E111&lt;&gt;-1,$R110&gt;0),"F","")</f>
        <v>F</v>
      </c>
      <c r="G110" s="208">
        <f ca="1">IF(OR(R110=0,R110=""),"Linha",IF(AND(OR(ACOMPANHAMENTO="PLE",$Q110&lt;&gt;2),$E111=0),"Linha",1-SUM(T110:AF110)))</f>
        <v>0</v>
      </c>
      <c r="H110" s="209" t="str">
        <f ca="1">IF($E111=0,OFFSET(ORÇAMENTO!O$15,$E110,0),IF($E111&lt;&gt;-1,OFFSET(QCI!$D$13,$E111,0),""))</f>
        <v>10.3.</v>
      </c>
      <c r="I110" s="210" t="str">
        <f ca="1">IF($E111=0,OFFSET(ORÇAMENTO!R$15,$E110,0),IF($E111&lt;&gt;-1,OFFSET(QCI!$G$13,$E111,0),""))</f>
        <v xml:space="preserve">LIMPEZ DA OBRA </v>
      </c>
      <c r="J110" s="210"/>
      <c r="K110" s="210"/>
      <c r="L110" s="211">
        <f ca="1">IF($E111=0,OFFSET(ORÇAMENTO!C$15,$E110,0),1)</f>
        <v>2</v>
      </c>
      <c r="M110" s="212">
        <f ca="1">IF($E111=-1,0,IF(M$13&lt;=$L110,IF(ISERROR(MATCH(M$13,OFFSET($L110,1,0,ROW($L$113)-ROW($L110)-1),0)),ROW($L$113)-ROW($L110)-1,MATCH(M$13,OFFSET($L110,1,0,ROW($L$113)-ROW($L110)-1),0)-1),0))</f>
        <v>2</v>
      </c>
      <c r="N110" s="212">
        <f ca="1">IF($E111=-1,0,IF(N$13&lt;=$L110,IF(ISERROR(MATCH(N$13,OFFSET($L110,1,0,ROW($L$113)-ROW($L110)-1),0)),ROW($L$113)-ROW($L110)-1,MATCH(N$13,OFFSET($L110,1,0,ROW($L$113)-ROW($L110)-1),0)-1),0))</f>
        <v>2</v>
      </c>
      <c r="O110" s="212">
        <f ca="1">IF($E111=-1,0,IF(O$13&lt;=$L110,IF(ISERROR(MATCH(O$13,OFFSET($L110,1,0,ROW($L$113)-ROW($L110)-1),0)),ROW($L$113)-ROW($L110)-1,MATCH(O$13,OFFSET($L110,1,0,ROW($L$113)-ROW($L110)-1),0)-1),0))</f>
        <v>0</v>
      </c>
      <c r="P110" s="212">
        <f ca="1">IF($E111=-1,0,IF(P$13&lt;=$L110,IF(ISERROR(MATCH(P$13,OFFSET($L110,1,0,ROW($L$113)-ROW($L110)-1),0)),ROW($L$113)-ROW($L110)-1,MATCH(P$13,OFFSET($L110,1,0,ROW($L$113)-ROW($L110)-1),0)-1),0))</f>
        <v>0</v>
      </c>
      <c r="Q110" s="212">
        <f ca="1">MIN(OFFSET(L110,0,1,,L110))</f>
        <v>2</v>
      </c>
      <c r="R110" s="213">
        <f ca="1">IF($E111=0,OFFSET(ORÇAMENTO!X$15,$E110,0),IF($E111&lt;&gt;-1,OFFSET(QCI!$O$13,$E111,0),""))</f>
        <v>152.36000000000001</v>
      </c>
      <c r="S110" s="214" t="s">
        <v>270</v>
      </c>
      <c r="T110" s="215">
        <f t="shared" ref="T110:AE110" ca="1" si="227">IF(AND($Q110=2,ACOMPANHAMENTO="BM"),T111,T112/$R110)</f>
        <v>0</v>
      </c>
      <c r="U110" s="207">
        <f t="shared" ca="1" si="227"/>
        <v>0</v>
      </c>
      <c r="V110" s="207">
        <f t="shared" ca="1" si="227"/>
        <v>1</v>
      </c>
      <c r="W110" s="207">
        <f t="shared" ca="1" si="227"/>
        <v>0</v>
      </c>
      <c r="X110" s="207">
        <f t="shared" ca="1" si="227"/>
        <v>0</v>
      </c>
      <c r="Y110" s="207">
        <f t="shared" ca="1" si="227"/>
        <v>0</v>
      </c>
      <c r="Z110" s="207">
        <f t="shared" ca="1" si="227"/>
        <v>0</v>
      </c>
      <c r="AA110" s="207">
        <f t="shared" ca="1" si="227"/>
        <v>0</v>
      </c>
      <c r="AB110" s="207">
        <f t="shared" ca="1" si="227"/>
        <v>0</v>
      </c>
      <c r="AC110" s="207">
        <f t="shared" ca="1" si="227"/>
        <v>0</v>
      </c>
      <c r="AD110" s="207">
        <f t="shared" ca="1" si="227"/>
        <v>0</v>
      </c>
      <c r="AE110" s="216">
        <f t="shared" ca="1" si="227"/>
        <v>0</v>
      </c>
    </row>
    <row r="111" spans="1:32" ht="12.75" customHeight="1" x14ac:dyDescent="0.2">
      <c r="D111" s="569"/>
      <c r="E111" s="204">
        <f ca="1">IF(ISERROR(E110),IF(1+COUNTIF($L$13:OFFSET(L110,-1,0),1)&lt;=MAX(QCI!$D$13:$D$24),1+COUNTIF($L$13:OFFSET(L110,-1,0),1),-1),0)</f>
        <v>0</v>
      </c>
      <c r="F111" s="204" t="str">
        <f ca="1">IF(AND($E111&lt;&gt;-1,$R110&gt;0),"F","")</f>
        <v>F</v>
      </c>
      <c r="G111" s="217" t="str">
        <f ca="1">IF(OR(R110=0,R110=""),"vazia",IF(AND(OR(ACOMPANHAMENTO="PLE",$Q110&lt;&gt;2),$E111=0),"calculada","--&gt;"))</f>
        <v>--&gt;</v>
      </c>
      <c r="H111" s="218"/>
      <c r="I111" s="219" t="str">
        <f ca="1">IF(AND(G110&lt;&gt;0,ISNUMBER(G110)),"PREENCHA ESTA LINHA --&gt;","")</f>
        <v/>
      </c>
      <c r="J111" s="219"/>
      <c r="K111" s="219"/>
      <c r="L111" s="220"/>
      <c r="M111" s="220"/>
      <c r="N111" s="220"/>
      <c r="O111" s="220"/>
      <c r="P111" s="220"/>
      <c r="Q111" s="220"/>
      <c r="R111" s="221"/>
      <c r="S111" s="222"/>
      <c r="T111" s="570"/>
      <c r="U111" s="569"/>
      <c r="V111" s="569">
        <v>1</v>
      </c>
      <c r="W111" s="569"/>
      <c r="X111" s="569"/>
      <c r="Y111" s="569"/>
      <c r="Z111" s="569"/>
      <c r="AA111" s="569"/>
      <c r="AB111" s="569"/>
      <c r="AC111" s="569"/>
      <c r="AD111" s="569"/>
      <c r="AE111" s="571"/>
      <c r="AF111" s="533"/>
    </row>
    <row r="112" spans="1:32" ht="0.2" hidden="1" customHeight="1" x14ac:dyDescent="0.2">
      <c r="D112" s="223">
        <f ca="1">IF($Q110=2,IF(AND(ACOMPANHAMENTO="PLE",ISNUMBER($E110)),SUMIF((OFFSET(CÁLCULO!$AM$15:$AW$15,$E110,0,OFFSET(ORÇAMENTO!$D$15,CRONO!$E110,0))),"="&amp;CRONO!D$12,OFFSET(CÁLCULO!$AB$15:$AL$15,$E110,0,OFFSET(ORÇAMENTO!$D$15,CRONO!$E110,0)))+IF(AND($E112&lt;&gt;"",$E112&lt;&gt;0),SUMIF(CÁLCULO!$AM$15:$AW$165,"="&amp;CRONO!D$12,CÁLCULO!$AB$15:$AL$165)/(ORÇAMENTO!$X$15-CÁLCULO.TotalAdmLocal)*CRONO!$E112,0),D111*$R110),SUMIF(OFFSET($R112,1,0,$Q110-2),($L110+1)&amp;"$",OFFSET(D112,1,0,$Q110-2)))</f>
        <v>0</v>
      </c>
      <c r="E112" s="204" t="str">
        <f ca="1">IF(OR($Q110&lt;&gt;2,AUTOEVENTO&lt;&gt;"manual",$E111&gt;0),"",SUMIF(OFFSET(CÁLCULO!$M$15,CRONO!$E110,0,OFFSET(ORÇAMENTO!$D$15,CRONO!$E110,0)),1,OFFSET(ORÇAMENTO!$X$15,CRONO!$E110,0,OFFSET(ORÇAMENTO!$D$15,CRONO!$E110,0))))</f>
        <v/>
      </c>
      <c r="G112" s="224"/>
      <c r="R112" s="225" t="str">
        <f ca="1">L110&amp;"$"</f>
        <v>2$</v>
      </c>
      <c r="S112" s="226"/>
      <c r="T112" s="227">
        <f ca="1">IF($Q110=2,IF(AND(ACOMPANHAMENTO="PLE",ISNUMBER($E110)),SUMIF((OFFSET(CÁLCULO!$AM$15:$AW$15,$E110,0,OFFSET(ORÇAMENTO!$D$15,CRONO!$E110,0))),"&lt;="&amp;CRONO!T$12,OFFSET(CÁLCULO!$AB$15:$AL$15,$E110,0,OFFSET(ORÇAMENTO!$D$15,CRONO!$E110,0)))+IF(AND($E112&lt;&gt;"",$E112&lt;&gt;0),SUMIF(CÁLCULO!$AM$15:$AW$165,"&lt;="&amp;CRONO!T$12,CÁLCULO!$AB$15:$AL$165)/(ORÇAMENTO!$X$15-CÁLCULO.TotalAdmLocal)*CRONO!$E112,0),T111*$R110),SUMIF(OFFSET($R112,1,0,$Q110-2),($L110+1)&amp;"$",OFFSET(T112,1,0,$Q110-2)))</f>
        <v>0</v>
      </c>
      <c r="U112" s="223">
        <f ca="1">IF($Q110=2,IF(AND(ACOMPANHAMENTO="PLE",ISNUMBER($E110)),SUMIF((OFFSET(CÁLCULO!$AM$15:$AW$15,$E110,0,OFFSET(ORÇAMENTO!$D$15,CRONO!$E110,0))),"="&amp;CRONO!U$12,OFFSET(CÁLCULO!$AB$15:$AL$15,$E110,0,OFFSET(ORÇAMENTO!$D$15,CRONO!$E110,0)))+IF(AND($E112&lt;&gt;"",$E112&lt;&gt;0),SUMIF(CÁLCULO!$AM$15:$AW$165,"="&amp;CRONO!U$12,CÁLCULO!$AB$15:$AL$165)/(ORÇAMENTO!$X$15-CÁLCULO.TotalAdmLocal)*CRONO!$E112,0),U111*$R110),SUMIF(OFFSET($R112,1,0,$Q110-2),($L110+1)&amp;"$",OFFSET(U112,1,0,$Q110-2)))</f>
        <v>0</v>
      </c>
      <c r="V112" s="223">
        <f ca="1">IF($Q110=2,IF(AND(ACOMPANHAMENTO="PLE",ISNUMBER($E110)),SUMIF((OFFSET(CÁLCULO!$AM$15:$AW$15,$E110,0,OFFSET(ORÇAMENTO!$D$15,CRONO!$E110,0))),"="&amp;CRONO!V$12,OFFSET(CÁLCULO!$AB$15:$AL$15,$E110,0,OFFSET(ORÇAMENTO!$D$15,CRONO!$E110,0)))+IF(AND($E112&lt;&gt;"",$E112&lt;&gt;0),SUMIF(CÁLCULO!$AM$15:$AW$165,"="&amp;CRONO!V$12,CÁLCULO!$AB$15:$AL$165)/(ORÇAMENTO!$X$15-CÁLCULO.TotalAdmLocal)*CRONO!$E112,0),V111*$R110),SUMIF(OFFSET($R112,1,0,$Q110-2),($L110+1)&amp;"$",OFFSET(V112,1,0,$Q110-2)))</f>
        <v>152.36000000000001</v>
      </c>
      <c r="W112" s="223">
        <f ca="1">IF($Q110=2,IF(AND(ACOMPANHAMENTO="PLE",ISNUMBER($E110)),SUMIF((OFFSET(CÁLCULO!$AM$15:$AW$15,$E110,0,OFFSET(ORÇAMENTO!$D$15,CRONO!$E110,0))),"="&amp;CRONO!W$12,OFFSET(CÁLCULO!$AB$15:$AL$15,$E110,0,OFFSET(ORÇAMENTO!$D$15,CRONO!$E110,0)))+IF(AND($E112&lt;&gt;"",$E112&lt;&gt;0),SUMIF(CÁLCULO!$AM$15:$AW$165,"="&amp;CRONO!W$12,CÁLCULO!$AB$15:$AL$165)/(ORÇAMENTO!$X$15-CÁLCULO.TotalAdmLocal)*CRONO!$E112,0),W111*$R110),SUMIF(OFFSET($R112,1,0,$Q110-2),($L110+1)&amp;"$",OFFSET(W112,1,0,$Q110-2)))</f>
        <v>0</v>
      </c>
      <c r="X112" s="223">
        <f ca="1">IF($Q110=2,IF(AND(ACOMPANHAMENTO="PLE",ISNUMBER($E110)),SUMIF((OFFSET(CÁLCULO!$AM$15:$AW$15,$E110,0,OFFSET(ORÇAMENTO!$D$15,CRONO!$E110,0))),"="&amp;CRONO!X$12,OFFSET(CÁLCULO!$AB$15:$AL$15,$E110,0,OFFSET(ORÇAMENTO!$D$15,CRONO!$E110,0)))+IF(AND($E112&lt;&gt;"",$E112&lt;&gt;0),SUMIF(CÁLCULO!$AM$15:$AW$165,"="&amp;CRONO!X$12,CÁLCULO!$AB$15:$AL$165)/(ORÇAMENTO!$X$15-CÁLCULO.TotalAdmLocal)*CRONO!$E112,0),X111*$R110),SUMIF(OFFSET($R112,1,0,$Q110-2),($L110+1)&amp;"$",OFFSET(X112,1,0,$Q110-2)))</f>
        <v>0</v>
      </c>
      <c r="Y112" s="223">
        <f ca="1">IF($Q110=2,IF(AND(ACOMPANHAMENTO="PLE",ISNUMBER($E110)),SUMIF((OFFSET(CÁLCULO!$AM$15:$AW$15,$E110,0,OFFSET(ORÇAMENTO!$D$15,CRONO!$E110,0))),"="&amp;CRONO!Y$12,OFFSET(CÁLCULO!$AB$15:$AL$15,$E110,0,OFFSET(ORÇAMENTO!$D$15,CRONO!$E110,0)))+IF(AND($E112&lt;&gt;"",$E112&lt;&gt;0),SUMIF(CÁLCULO!$AM$15:$AW$165,"="&amp;CRONO!Y$12,CÁLCULO!$AB$15:$AL$165)/(ORÇAMENTO!$X$15-CÁLCULO.TotalAdmLocal)*CRONO!$E112,0),Y111*$R110),SUMIF(OFFSET($R112,1,0,$Q110-2),($L110+1)&amp;"$",OFFSET(Y112,1,0,$Q110-2)))</f>
        <v>0</v>
      </c>
      <c r="Z112" s="223">
        <f ca="1">IF($Q110=2,IF(AND(ACOMPANHAMENTO="PLE",ISNUMBER($E110)),SUMIF((OFFSET(CÁLCULO!$AM$15:$AW$15,$E110,0,OFFSET(ORÇAMENTO!$D$15,CRONO!$E110,0))),"="&amp;CRONO!Z$12,OFFSET(CÁLCULO!$AB$15:$AL$15,$E110,0,OFFSET(ORÇAMENTO!$D$15,CRONO!$E110,0)))+IF(AND($E112&lt;&gt;"",$E112&lt;&gt;0),SUMIF(CÁLCULO!$AM$15:$AW$165,"="&amp;CRONO!Z$12,CÁLCULO!$AB$15:$AL$165)/(ORÇAMENTO!$X$15-CÁLCULO.TotalAdmLocal)*CRONO!$E112,0),Z111*$R110),SUMIF(OFFSET($R112,1,0,$Q110-2),($L110+1)&amp;"$",OFFSET(Z112,1,0,$Q110-2)))</f>
        <v>0</v>
      </c>
      <c r="AA112" s="223">
        <f ca="1">IF($Q110=2,IF(AND(ACOMPANHAMENTO="PLE",ISNUMBER($E110)),SUMIF((OFFSET(CÁLCULO!$AM$15:$AW$15,$E110,0,OFFSET(ORÇAMENTO!$D$15,CRONO!$E110,0))),"="&amp;CRONO!AA$12,OFFSET(CÁLCULO!$AB$15:$AL$15,$E110,0,OFFSET(ORÇAMENTO!$D$15,CRONO!$E110,0)))+IF(AND($E112&lt;&gt;"",$E112&lt;&gt;0),SUMIF(CÁLCULO!$AM$15:$AW$165,"="&amp;CRONO!AA$12,CÁLCULO!$AB$15:$AL$165)/(ORÇAMENTO!$X$15-CÁLCULO.TotalAdmLocal)*CRONO!$E112,0),AA111*$R110),SUMIF(OFFSET($R112,1,0,$Q110-2),($L110+1)&amp;"$",OFFSET(AA112,1,0,$Q110-2)))</f>
        <v>0</v>
      </c>
      <c r="AB112" s="223">
        <f ca="1">IF($Q110=2,IF(AND(ACOMPANHAMENTO="PLE",ISNUMBER($E110)),SUMIF((OFFSET(CÁLCULO!$AM$15:$AW$15,$E110,0,OFFSET(ORÇAMENTO!$D$15,CRONO!$E110,0))),"="&amp;CRONO!AB$12,OFFSET(CÁLCULO!$AB$15:$AL$15,$E110,0,OFFSET(ORÇAMENTO!$D$15,CRONO!$E110,0)))+IF(AND($E112&lt;&gt;"",$E112&lt;&gt;0),SUMIF(CÁLCULO!$AM$15:$AW$165,"="&amp;CRONO!AB$12,CÁLCULO!$AB$15:$AL$165)/(ORÇAMENTO!$X$15-CÁLCULO.TotalAdmLocal)*CRONO!$E112,0),AB111*$R110),SUMIF(OFFSET($R112,1,0,$Q110-2),($L110+1)&amp;"$",OFFSET(AB112,1,0,$Q110-2)))</f>
        <v>0</v>
      </c>
      <c r="AC112" s="223">
        <f ca="1">IF($Q110=2,IF(AND(ACOMPANHAMENTO="PLE",ISNUMBER($E110)),SUMIF((OFFSET(CÁLCULO!$AM$15:$AW$15,$E110,0,OFFSET(ORÇAMENTO!$D$15,CRONO!$E110,0))),"="&amp;CRONO!AC$12,OFFSET(CÁLCULO!$AB$15:$AL$15,$E110,0,OFFSET(ORÇAMENTO!$D$15,CRONO!$E110,0)))+IF(AND($E112&lt;&gt;"",$E112&lt;&gt;0),SUMIF(CÁLCULO!$AM$15:$AW$165,"="&amp;CRONO!AC$12,CÁLCULO!$AB$15:$AL$165)/(ORÇAMENTO!$X$15-CÁLCULO.TotalAdmLocal)*CRONO!$E112,0),AC111*$R110),SUMIF(OFFSET($R112,1,0,$Q110-2),($L110+1)&amp;"$",OFFSET(AC112,1,0,$Q110-2)))</f>
        <v>0</v>
      </c>
      <c r="AD112" s="223">
        <f ca="1">IF($Q110=2,IF(AND(ACOMPANHAMENTO="PLE",ISNUMBER($E110)),SUMIF((OFFSET(CÁLCULO!$AM$15:$AW$15,$E110,0,OFFSET(ORÇAMENTO!$D$15,CRONO!$E110,0))),"="&amp;CRONO!AD$12,OFFSET(CÁLCULO!$AB$15:$AL$15,$E110,0,OFFSET(ORÇAMENTO!$D$15,CRONO!$E110,0)))+IF(AND($E112&lt;&gt;"",$E112&lt;&gt;0),SUMIF(CÁLCULO!$AM$15:$AW$165,"="&amp;CRONO!AD$12,CÁLCULO!$AB$15:$AL$165)/(ORÇAMENTO!$X$15-CÁLCULO.TotalAdmLocal)*CRONO!$E112,0),AD111*$R110),SUMIF(OFFSET($R112,1,0,$Q110-2),($L110+1)&amp;"$",OFFSET(AD112,1,0,$Q110-2)))</f>
        <v>0</v>
      </c>
      <c r="AE112" s="228">
        <f ca="1">IF($Q110=2,IF(AND(ACOMPANHAMENTO="PLE",ISNUMBER($E110)),SUMIF((OFFSET(CÁLCULO!$AM$15:$AW$15,$E110,0,OFFSET(ORÇAMENTO!$D$15,CRONO!$E110,0))),"="&amp;CRONO!AE$12,OFFSET(CÁLCULO!$AB$15:$AL$15,$E110,0,OFFSET(ORÇAMENTO!$D$15,CRONO!$E110,0)))+IF(AND($E112&lt;&gt;"",$E112&lt;&gt;0),SUMIF(CÁLCULO!$AM$15:$AW$165,"="&amp;CRONO!AE$12,CÁLCULO!$AB$15:$AL$165)/(ORÇAMENTO!$X$15-CÁLCULO.TotalAdmLocal)*CRONO!$E112,0),AE111*$R110),SUMIF(OFFSET($R112,1,0,$Q110-2),($L110+1)&amp;"$",OFFSET(AE112,1,0,$Q110-2)))</f>
        <v>0</v>
      </c>
    </row>
    <row r="113" spans="4:32" ht="5.0999999999999996" customHeight="1" x14ac:dyDescent="0.2">
      <c r="D113" s="502"/>
      <c r="F113" s="204" t="s">
        <v>246</v>
      </c>
      <c r="G113" s="504"/>
      <c r="H113" s="505"/>
      <c r="I113" s="506"/>
      <c r="J113" s="506"/>
      <c r="K113" s="506"/>
      <c r="L113" s="507" t="s">
        <v>281</v>
      </c>
      <c r="M113" s="507"/>
      <c r="N113" s="507"/>
      <c r="O113" s="507"/>
      <c r="P113" s="507"/>
      <c r="Q113" s="507"/>
      <c r="R113" s="508"/>
      <c r="S113" s="508"/>
      <c r="T113" s="506"/>
      <c r="U113" s="506"/>
      <c r="V113" s="506"/>
      <c r="W113" s="506"/>
      <c r="X113" s="506"/>
      <c r="Y113" s="506"/>
      <c r="Z113" s="506"/>
      <c r="AA113" s="506"/>
      <c r="AB113" s="506"/>
      <c r="AC113" s="506"/>
      <c r="AD113" s="506"/>
      <c r="AE113" s="509"/>
      <c r="AF113" s="503"/>
    </row>
    <row r="114" spans="4:32" ht="12.75" customHeight="1" x14ac:dyDescent="0.2">
      <c r="D114" s="252">
        <f ca="1">D118/$Q$114</f>
        <v>0</v>
      </c>
      <c r="F114" s="204" t="s">
        <v>246</v>
      </c>
      <c r="H114" s="640" t="str">
        <f ca="1">"Total:    R$ "&amp;TEXT(Q114,"#.##0,00")</f>
        <v>Total:    R$ 399.069,39</v>
      </c>
      <c r="I114" s="640"/>
      <c r="J114" s="640"/>
      <c r="K114" s="253"/>
      <c r="Q114" s="254">
        <f ca="1">SUMIF(L12:L113,1,R12:R113)</f>
        <v>399069.38999999996</v>
      </c>
      <c r="R114" s="255"/>
      <c r="S114" s="256" t="s">
        <v>282</v>
      </c>
      <c r="T114" s="257">
        <f t="shared" ref="T114:AE114" ca="1" si="228">ROUND(T118,2)/$Q$114</f>
        <v>0.15022943754217782</v>
      </c>
      <c r="U114" s="258">
        <f t="shared" ca="1" si="228"/>
        <v>0.43330559630243759</v>
      </c>
      <c r="V114" s="258">
        <f t="shared" ca="1" si="228"/>
        <v>0.41646496615538475</v>
      </c>
      <c r="W114" s="258">
        <f t="shared" ca="1" si="228"/>
        <v>0</v>
      </c>
      <c r="X114" s="258">
        <f t="shared" ca="1" si="228"/>
        <v>0</v>
      </c>
      <c r="Y114" s="258">
        <f t="shared" ca="1" si="228"/>
        <v>0</v>
      </c>
      <c r="Z114" s="258">
        <f t="shared" ca="1" si="228"/>
        <v>0</v>
      </c>
      <c r="AA114" s="258">
        <f t="shared" ca="1" si="228"/>
        <v>0</v>
      </c>
      <c r="AB114" s="258">
        <f t="shared" ca="1" si="228"/>
        <v>0</v>
      </c>
      <c r="AC114" s="258">
        <f t="shared" ca="1" si="228"/>
        <v>0</v>
      </c>
      <c r="AD114" s="258">
        <f t="shared" ca="1" si="228"/>
        <v>0</v>
      </c>
      <c r="AE114" s="259">
        <f t="shared" ca="1" si="228"/>
        <v>0</v>
      </c>
    </row>
    <row r="115" spans="4:32" ht="15" customHeight="1" x14ac:dyDescent="0.2">
      <c r="D115" s="260">
        <f ca="1">ROUND(D120,2)-ROUND(C120,2)</f>
        <v>0</v>
      </c>
      <c r="F115" s="204" t="s">
        <v>246</v>
      </c>
      <c r="H115" s="640"/>
      <c r="I115" s="640"/>
      <c r="J115" s="640"/>
      <c r="K115" s="261"/>
      <c r="Q115" s="254"/>
      <c r="R115" s="262"/>
      <c r="S115" s="263" t="str">
        <f>IF(import.recurso="FGTS","Financiamento:","Repasse:")</f>
        <v>Repasse:</v>
      </c>
      <c r="T115" s="264">
        <f ca="1">ROUND(T120,2)</f>
        <v>0</v>
      </c>
      <c r="U115" s="260">
        <f t="shared" ref="U115:AE115" ca="1" si="229">ROUND(U120,2)-ROUND(T120,2)</f>
        <v>0</v>
      </c>
      <c r="V115" s="260">
        <f t="shared" ca="1" si="229"/>
        <v>0</v>
      </c>
      <c r="W115" s="260">
        <f t="shared" ca="1" si="229"/>
        <v>0</v>
      </c>
      <c r="X115" s="260">
        <f t="shared" ca="1" si="229"/>
        <v>0</v>
      </c>
      <c r="Y115" s="260">
        <f t="shared" ca="1" si="229"/>
        <v>0</v>
      </c>
      <c r="Z115" s="260">
        <f t="shared" ca="1" si="229"/>
        <v>0</v>
      </c>
      <c r="AA115" s="260">
        <f t="shared" ca="1" si="229"/>
        <v>0</v>
      </c>
      <c r="AB115" s="260">
        <f t="shared" ca="1" si="229"/>
        <v>0</v>
      </c>
      <c r="AC115" s="260">
        <f t="shared" ca="1" si="229"/>
        <v>0</v>
      </c>
      <c r="AD115" s="260">
        <f t="shared" ca="1" si="229"/>
        <v>0</v>
      </c>
      <c r="AE115" s="265">
        <f t="shared" ca="1" si="229"/>
        <v>0</v>
      </c>
    </row>
    <row r="116" spans="4:32" ht="12.75" customHeight="1" x14ac:dyDescent="0.2">
      <c r="D116" s="260">
        <f ca="1">ROUND(D121,2)-ROUND(C121,2)</f>
        <v>0</v>
      </c>
      <c r="F116" s="204" t="s">
        <v>246</v>
      </c>
      <c r="H116" s="266"/>
      <c r="K116" s="267" t="s">
        <v>283</v>
      </c>
      <c r="Q116" s="254"/>
      <c r="R116" s="268"/>
      <c r="S116" s="269" t="s">
        <v>284</v>
      </c>
      <c r="T116" s="270">
        <f ca="1">ROUND(T121,2)</f>
        <v>59951.97</v>
      </c>
      <c r="U116" s="271">
        <f t="shared" ref="U116:AE116" ca="1" si="230">ROUND(U121,2)-ROUND(T121,2)</f>
        <v>172919</v>
      </c>
      <c r="V116" s="271">
        <f t="shared" ca="1" si="230"/>
        <v>166198.42000000001</v>
      </c>
      <c r="W116" s="271">
        <f t="shared" ca="1" si="230"/>
        <v>0</v>
      </c>
      <c r="X116" s="271">
        <f t="shared" ca="1" si="230"/>
        <v>0</v>
      </c>
      <c r="Y116" s="271">
        <f t="shared" ca="1" si="230"/>
        <v>0</v>
      </c>
      <c r="Z116" s="271">
        <f t="shared" ca="1" si="230"/>
        <v>0</v>
      </c>
      <c r="AA116" s="271">
        <f t="shared" ca="1" si="230"/>
        <v>0</v>
      </c>
      <c r="AB116" s="271">
        <f t="shared" ca="1" si="230"/>
        <v>0</v>
      </c>
      <c r="AC116" s="271">
        <f t="shared" ca="1" si="230"/>
        <v>0</v>
      </c>
      <c r="AD116" s="271">
        <f t="shared" ca="1" si="230"/>
        <v>0</v>
      </c>
      <c r="AE116" s="272">
        <f t="shared" ca="1" si="230"/>
        <v>0</v>
      </c>
    </row>
    <row r="117" spans="4:32" x14ac:dyDescent="0.2">
      <c r="D117" s="273">
        <f ca="1">ROUND(D122,2)-ROUND(C122,2)</f>
        <v>0</v>
      </c>
      <c r="F117" s="204" t="s">
        <v>246</v>
      </c>
      <c r="H117" s="266"/>
      <c r="K117" s="267"/>
      <c r="Q117" s="254"/>
      <c r="R117" s="274"/>
      <c r="S117" s="275" t="s">
        <v>285</v>
      </c>
      <c r="T117" s="276">
        <f ca="1">ROUND(T122,2)</f>
        <v>0</v>
      </c>
      <c r="U117" s="273">
        <f t="shared" ref="U117:AE117" ca="1" si="231">ROUND(U122,2)-ROUND(T122,2)</f>
        <v>0</v>
      </c>
      <c r="V117" s="273">
        <f t="shared" ca="1" si="231"/>
        <v>0</v>
      </c>
      <c r="W117" s="273">
        <f t="shared" ca="1" si="231"/>
        <v>0</v>
      </c>
      <c r="X117" s="273">
        <f t="shared" ca="1" si="231"/>
        <v>0</v>
      </c>
      <c r="Y117" s="273">
        <f t="shared" ca="1" si="231"/>
        <v>0</v>
      </c>
      <c r="Z117" s="273">
        <f t="shared" ca="1" si="231"/>
        <v>0</v>
      </c>
      <c r="AA117" s="273">
        <f t="shared" ca="1" si="231"/>
        <v>0</v>
      </c>
      <c r="AB117" s="273">
        <f t="shared" ca="1" si="231"/>
        <v>0</v>
      </c>
      <c r="AC117" s="273">
        <f t="shared" ca="1" si="231"/>
        <v>0</v>
      </c>
      <c r="AD117" s="273">
        <f t="shared" ca="1" si="231"/>
        <v>0</v>
      </c>
      <c r="AE117" s="277">
        <f t="shared" ca="1" si="231"/>
        <v>0</v>
      </c>
    </row>
    <row r="118" spans="4:32" x14ac:dyDescent="0.2">
      <c r="D118" s="278">
        <f ca="1">ROUND(D123,2)-ROUND(C123,2)</f>
        <v>0</v>
      </c>
      <c r="F118" s="204" t="s">
        <v>246</v>
      </c>
      <c r="K118" s="279"/>
      <c r="R118" s="280"/>
      <c r="S118" s="281" t="s">
        <v>286</v>
      </c>
      <c r="T118" s="282">
        <f ca="1">ROUND(T123,2)</f>
        <v>59951.97</v>
      </c>
      <c r="U118" s="283">
        <f t="shared" ref="U118:AE118" ca="1" si="232">ROUND(U123,2)-ROUND(T123,2)</f>
        <v>172919</v>
      </c>
      <c r="V118" s="283">
        <f t="shared" ca="1" si="232"/>
        <v>166198.42000000001</v>
      </c>
      <c r="W118" s="283">
        <f t="shared" ca="1" si="232"/>
        <v>0</v>
      </c>
      <c r="X118" s="283">
        <f t="shared" ca="1" si="232"/>
        <v>0</v>
      </c>
      <c r="Y118" s="283">
        <f t="shared" ca="1" si="232"/>
        <v>0</v>
      </c>
      <c r="Z118" s="283">
        <f t="shared" ca="1" si="232"/>
        <v>0</v>
      </c>
      <c r="AA118" s="283">
        <f t="shared" ca="1" si="232"/>
        <v>0</v>
      </c>
      <c r="AB118" s="283">
        <f t="shared" ca="1" si="232"/>
        <v>0</v>
      </c>
      <c r="AC118" s="283">
        <f t="shared" ca="1" si="232"/>
        <v>0</v>
      </c>
      <c r="AD118" s="283">
        <f t="shared" ca="1" si="232"/>
        <v>0</v>
      </c>
      <c r="AE118" s="284">
        <f t="shared" ca="1" si="232"/>
        <v>0</v>
      </c>
    </row>
    <row r="119" spans="4:32" x14ac:dyDescent="0.2">
      <c r="D119" s="252">
        <f ca="1">D123/$Q$114</f>
        <v>0</v>
      </c>
      <c r="F119" s="204" t="s">
        <v>246</v>
      </c>
      <c r="K119" s="253"/>
      <c r="R119" s="255"/>
      <c r="S119" s="256" t="s">
        <v>282</v>
      </c>
      <c r="T119" s="257">
        <f ca="1">ROUND(T123,2)/$Q$114</f>
        <v>0.15022943754217782</v>
      </c>
      <c r="U119" s="258">
        <f t="shared" ref="U119:AE119" ca="1" si="233">ROUND(U123,2)/$Q$114</f>
        <v>0.58353503384461536</v>
      </c>
      <c r="V119" s="258">
        <f t="shared" ca="1" si="233"/>
        <v>1.0000000000000002</v>
      </c>
      <c r="W119" s="258">
        <f t="shared" ca="1" si="233"/>
        <v>1.0000000000000002</v>
      </c>
      <c r="X119" s="258">
        <f t="shared" ca="1" si="233"/>
        <v>1.0000000000000002</v>
      </c>
      <c r="Y119" s="258">
        <f t="shared" ca="1" si="233"/>
        <v>1.0000000000000002</v>
      </c>
      <c r="Z119" s="258">
        <f t="shared" ca="1" si="233"/>
        <v>1.0000000000000002</v>
      </c>
      <c r="AA119" s="258">
        <f t="shared" ca="1" si="233"/>
        <v>1.0000000000000002</v>
      </c>
      <c r="AB119" s="258">
        <f t="shared" ca="1" si="233"/>
        <v>1.0000000000000002</v>
      </c>
      <c r="AC119" s="258">
        <f t="shared" ca="1" si="233"/>
        <v>1.0000000000000002</v>
      </c>
      <c r="AD119" s="258">
        <f t="shared" ca="1" si="233"/>
        <v>1.0000000000000002</v>
      </c>
      <c r="AE119" s="259">
        <f t="shared" ca="1" si="233"/>
        <v>1.0000000000000002</v>
      </c>
    </row>
    <row r="120" spans="4:32" x14ac:dyDescent="0.2">
      <c r="D120" s="260">
        <f ca="1">ROUND(D123-D122-D121,2)</f>
        <v>0</v>
      </c>
      <c r="F120" s="204" t="s">
        <v>246</v>
      </c>
      <c r="K120" s="261"/>
      <c r="R120" s="262"/>
      <c r="S120" s="263" t="str">
        <f>IF(import.recurso="FGTS","Financiamento:","Repasse:")</f>
        <v>Repasse:</v>
      </c>
      <c r="T120" s="264">
        <f ca="1">ROUND(T123-T122-T121,2)</f>
        <v>0</v>
      </c>
      <c r="U120" s="260">
        <f t="shared" ref="U120:AE120" ca="1" si="234">ROUND(U123-U122-U121,2)</f>
        <v>0</v>
      </c>
      <c r="V120" s="260">
        <f t="shared" ca="1" si="234"/>
        <v>0</v>
      </c>
      <c r="W120" s="260">
        <f t="shared" ca="1" si="234"/>
        <v>0</v>
      </c>
      <c r="X120" s="260">
        <f t="shared" ca="1" si="234"/>
        <v>0</v>
      </c>
      <c r="Y120" s="260">
        <f t="shared" ca="1" si="234"/>
        <v>0</v>
      </c>
      <c r="Z120" s="260">
        <f t="shared" ca="1" si="234"/>
        <v>0</v>
      </c>
      <c r="AA120" s="260">
        <f t="shared" ca="1" si="234"/>
        <v>0</v>
      </c>
      <c r="AB120" s="260">
        <f t="shared" ca="1" si="234"/>
        <v>0</v>
      </c>
      <c r="AC120" s="260">
        <f t="shared" ca="1" si="234"/>
        <v>0</v>
      </c>
      <c r="AD120" s="260">
        <f t="shared" ca="1" si="234"/>
        <v>0</v>
      </c>
      <c r="AE120" s="265">
        <f t="shared" ca="1" si="234"/>
        <v>0</v>
      </c>
      <c r="AF120" s="205">
        <f ca="1">AE120+SUMPRODUCT((OFFSET($B$13,1,0):OFFSET($B$113,-3,0))*IF(ISNUMBER(OFFSET(AF$11,5,0):OFFSET(AF$113,-1,0)),OFFSET(AF$11,5,0):OFFSET(AF$113,-1,0),0))</f>
        <v>0</v>
      </c>
    </row>
    <row r="121" spans="4:32" x14ac:dyDescent="0.2">
      <c r="D121" s="260">
        <f t="array" aca="1" ref="D121" ca="1">C121+SUM((OFFSET($B$13,1,0):OFFSET($B$113,-3,0))*IF(ISNUMBER(OFFSET(D$11,5,0):OFFSET(D$113,-1,0)),OFFSET(D$11,5,0):OFFSET(D$113,-1,0),0))</f>
        <v>0</v>
      </c>
      <c r="F121" s="204" t="s">
        <v>246</v>
      </c>
      <c r="K121" s="267" t="s">
        <v>287</v>
      </c>
      <c r="R121" s="268"/>
      <c r="S121" s="269" t="s">
        <v>284</v>
      </c>
      <c r="T121" s="270">
        <f t="array" aca="1" ref="T121" ca="1">SUM((OFFSET($B$13,1,0):OFFSET($B$113,-3,0))*IF(ISNUMBER(OFFSET(T$11,5,0):OFFSET(T$113,-1,0)),OFFSET(T$11,5,0):OFFSET(T$113,-1,0),0))</f>
        <v>59951.973999999995</v>
      </c>
      <c r="U121" s="271">
        <f t="array" aca="1" ref="U121" ca="1">T121+SUM((OFFSET($B$13,1,0):OFFSET($B$113,-3,0))*IF(ISNUMBER(OFFSET(U$11,5,0):OFFSET(U$113,-1,0)),OFFSET(U$11,5,0):OFFSET(U$113,-1,0),0))</f>
        <v>232870.97299999997</v>
      </c>
      <c r="V121" s="271">
        <f t="array" aca="1" ref="V121" ca="1">U121+SUM((OFFSET($B$13,1,0):OFFSET($B$113,-3,0))*IF(ISNUMBER(OFFSET(V$11,5,0):OFFSET(V$113,-1,0)),OFFSET(V$11,5,0):OFFSET(V$113,-1,0),0))</f>
        <v>399069.38999999996</v>
      </c>
      <c r="W121" s="271">
        <f t="array" aca="1" ref="W121" ca="1">V121+SUM((OFFSET($B$13,1,0):OFFSET($B$113,-3,0))*IF(ISNUMBER(OFFSET(W$11,5,0):OFFSET(W$113,-1,0)),OFFSET(W$11,5,0):OFFSET(W$113,-1,0),0))</f>
        <v>399069.38999999996</v>
      </c>
      <c r="X121" s="271">
        <f t="array" aca="1" ref="X121" ca="1">W121+SUM((OFFSET($B$13,1,0):OFFSET($B$113,-3,0))*IF(ISNUMBER(OFFSET(X$11,5,0):OFFSET(X$113,-1,0)),OFFSET(X$11,5,0):OFFSET(X$113,-1,0),0))</f>
        <v>399069.38999999996</v>
      </c>
      <c r="Y121" s="271">
        <f t="array" aca="1" ref="Y121" ca="1">X121+SUM((OFFSET($B$13,1,0):OFFSET($B$113,-3,0))*IF(ISNUMBER(OFFSET(Y$11,5,0):OFFSET(Y$113,-1,0)),OFFSET(Y$11,5,0):OFFSET(Y$113,-1,0),0))</f>
        <v>399069.38999999996</v>
      </c>
      <c r="Z121" s="271">
        <f t="array" aca="1" ref="Z121" ca="1">Y121+SUM((OFFSET($B$13,1,0):OFFSET($B$113,-3,0))*IF(ISNUMBER(OFFSET(Z$11,5,0):OFFSET(Z$113,-1,0)),OFFSET(Z$11,5,0):OFFSET(Z$113,-1,0),0))</f>
        <v>399069.38999999996</v>
      </c>
      <c r="AA121" s="271">
        <f t="array" aca="1" ref="AA121" ca="1">Z121+SUM((OFFSET($B$13,1,0):OFFSET($B$113,-3,0))*IF(ISNUMBER(OFFSET(AA$11,5,0):OFFSET(AA$113,-1,0)),OFFSET(AA$11,5,0):OFFSET(AA$113,-1,0),0))</f>
        <v>399069.38999999996</v>
      </c>
      <c r="AB121" s="271">
        <f t="array" aca="1" ref="AB121" ca="1">AA121+SUM((OFFSET($B$13,1,0):OFFSET($B$113,-3,0))*IF(ISNUMBER(OFFSET(AB$11,5,0):OFFSET(AB$113,-1,0)),OFFSET(AB$11,5,0):OFFSET(AB$113,-1,0),0))</f>
        <v>399069.38999999996</v>
      </c>
      <c r="AC121" s="271">
        <f t="array" aca="1" ref="AC121" ca="1">AB121+SUM((OFFSET($B$13,1,0):OFFSET($B$113,-3,0))*IF(ISNUMBER(OFFSET(AC$11,5,0):OFFSET(AC$113,-1,0)),OFFSET(AC$11,5,0):OFFSET(AC$113,-1,0),0))</f>
        <v>399069.38999999996</v>
      </c>
      <c r="AD121" s="271">
        <f t="array" aca="1" ref="AD121" ca="1">AC121+SUM((OFFSET($B$13,1,0):OFFSET($B$113,-3,0))*IF(ISNUMBER(OFFSET(AD$11,5,0):OFFSET(AD$113,-1,0)),OFFSET(AD$11,5,0):OFFSET(AD$113,-1,0),0))</f>
        <v>399069.38999999996</v>
      </c>
      <c r="AE121" s="272">
        <f t="array" aca="1" ref="AE121" ca="1">AD121+SUM((OFFSET($B$13,1,0):OFFSET($B$113,-3,0))*IF(ISNUMBER(OFFSET(AE$11,5,0):OFFSET(AE$113,-1,0)),OFFSET(AE$11,5,0):OFFSET(AE$113,-1,0),0))</f>
        <v>399069.38999999996</v>
      </c>
      <c r="AF121" s="205">
        <f ca="1">AE121+SUMPRODUCT((OFFSET($C$13,1,0):OFFSET($C$113,-3,0))*IF(ISNUMBER(OFFSET(AF$11,5,0):OFFSET(AF$113,-1,0)),OFFSET(AF$11,5,0):OFFSET(AF$113,-1,0),0))</f>
        <v>399069.38999999996</v>
      </c>
    </row>
    <row r="122" spans="4:32" x14ac:dyDescent="0.2">
      <c r="D122" s="273">
        <f t="array" aca="1" ref="D122" ca="1">C122+SUM((OFFSET($C$13,1,0):OFFSET($C$113,-3,0))*IF(ISNUMBER(OFFSET(D$11,5,0):OFFSET(D$113,-1,0)),OFFSET(D$11,5,0):OFFSET(D$113,-1,0),0))</f>
        <v>0</v>
      </c>
      <c r="F122" s="204" t="s">
        <v>246</v>
      </c>
      <c r="K122" s="267"/>
      <c r="R122" s="274"/>
      <c r="S122" s="275" t="s">
        <v>285</v>
      </c>
      <c r="T122" s="276">
        <f t="array" aca="1" ref="T122" ca="1">SUM((OFFSET($C$13,1,0):OFFSET($C$113,-3,0))*IF(ISNUMBER(OFFSET(T$11,5,0):OFFSET(T$113,-1,0)),OFFSET(T$11,5,0):OFFSET(T$113,-1,0),0))</f>
        <v>0</v>
      </c>
      <c r="U122" s="273">
        <f t="array" aca="1" ref="U122" ca="1">T122+SUM((OFFSET($C$13,1,0):OFFSET($C$113,-3,0))*IF(ISNUMBER(OFFSET(U$11,5,0):OFFSET(U$113,-1,0)),OFFSET(U$11,5,0):OFFSET(U$113,-1,0),0))</f>
        <v>0</v>
      </c>
      <c r="V122" s="273">
        <f t="array" aca="1" ref="V122" ca="1">U122+SUM((OFFSET($C$13,1,0):OFFSET($C$113,-3,0))*IF(ISNUMBER(OFFSET(V$11,5,0):OFFSET(V$113,-1,0)),OFFSET(V$11,5,0):OFFSET(V$113,-1,0),0))</f>
        <v>0</v>
      </c>
      <c r="W122" s="273">
        <f t="array" aca="1" ref="W122" ca="1">V122+SUM((OFFSET($C$13,1,0):OFFSET($C$113,-3,0))*IF(ISNUMBER(OFFSET(W$11,5,0):OFFSET(W$113,-1,0)),OFFSET(W$11,5,0):OFFSET(W$113,-1,0),0))</f>
        <v>0</v>
      </c>
      <c r="X122" s="273">
        <f t="array" aca="1" ref="X122" ca="1">W122+SUM((OFFSET($C$13,1,0):OFFSET($C$113,-3,0))*IF(ISNUMBER(OFFSET(X$11,5,0):OFFSET(X$113,-1,0)),OFFSET(X$11,5,0):OFFSET(X$113,-1,0),0))</f>
        <v>0</v>
      </c>
      <c r="Y122" s="273">
        <f t="array" aca="1" ref="Y122" ca="1">X122+SUM((OFFSET($C$13,1,0):OFFSET($C$113,-3,0))*IF(ISNUMBER(OFFSET(Y$11,5,0):OFFSET(Y$113,-1,0)),OFFSET(Y$11,5,0):OFFSET(Y$113,-1,0),0))</f>
        <v>0</v>
      </c>
      <c r="Z122" s="273">
        <f t="array" aca="1" ref="Z122" ca="1">Y122+SUM((OFFSET($C$13,1,0):OFFSET($C$113,-3,0))*IF(ISNUMBER(OFFSET(Z$11,5,0):OFFSET(Z$113,-1,0)),OFFSET(Z$11,5,0):OFFSET(Z$113,-1,0),0))</f>
        <v>0</v>
      </c>
      <c r="AA122" s="273">
        <f t="array" aca="1" ref="AA122" ca="1">Z122+SUM((OFFSET($C$13,1,0):OFFSET($C$113,-3,0))*IF(ISNUMBER(OFFSET(AA$11,5,0):OFFSET(AA$113,-1,0)),OFFSET(AA$11,5,0):OFFSET(AA$113,-1,0),0))</f>
        <v>0</v>
      </c>
      <c r="AB122" s="273">
        <f t="array" aca="1" ref="AB122" ca="1">AA122+SUM((OFFSET($C$13,1,0):OFFSET($C$113,-3,0))*IF(ISNUMBER(OFFSET(AB$11,5,0):OFFSET(AB$113,-1,0)),OFFSET(AB$11,5,0):OFFSET(AB$113,-1,0),0))</f>
        <v>0</v>
      </c>
      <c r="AC122" s="273">
        <f t="array" aca="1" ref="AC122" ca="1">AB122+SUM((OFFSET($C$13,1,0):OFFSET($C$113,-3,0))*IF(ISNUMBER(OFFSET(AC$11,5,0):OFFSET(AC$113,-1,0)),OFFSET(AC$11,5,0):OFFSET(AC$113,-1,0),0))</f>
        <v>0</v>
      </c>
      <c r="AD122" s="273">
        <f t="array" aca="1" ref="AD122" ca="1">AC122+SUM((OFFSET($C$13,1,0):OFFSET($C$113,-3,0))*IF(ISNUMBER(OFFSET(AD$11,5,0):OFFSET(AD$113,-1,0)),OFFSET(AD$11,5,0):OFFSET(AD$113,-1,0),0))</f>
        <v>0</v>
      </c>
      <c r="AE122" s="277">
        <f t="array" aca="1" ref="AE122" ca="1">AD122+SUM((OFFSET($C$13,1,0):OFFSET($C$113,-3,0))*IF(ISNUMBER(OFFSET(AE$11,5,0):OFFSET(AE$113,-1,0)),OFFSET(AE$11,5,0):OFFSET(AE$113,-1,0),0))</f>
        <v>0</v>
      </c>
      <c r="AF122" s="205">
        <f ca="1">ROUND(AF123-AF120-AF121,2)</f>
        <v>0</v>
      </c>
    </row>
    <row r="123" spans="4:32" x14ac:dyDescent="0.2">
      <c r="D123" s="278">
        <f ca="1">C123+SUMIF($R$12:$R$113,"1$",D12:D113)</f>
        <v>0</v>
      </c>
      <c r="F123" s="204" t="s">
        <v>246</v>
      </c>
      <c r="K123" s="279"/>
      <c r="R123" s="280"/>
      <c r="S123" s="281" t="s">
        <v>286</v>
      </c>
      <c r="T123" s="282">
        <f ca="1">SUMIF($R$12:$R$113,"1$",T12:T113)</f>
        <v>59951.974000000002</v>
      </c>
      <c r="U123" s="283">
        <f ca="1">T123+SUMIF($R$12:$R$113,"1$",U12:U113)</f>
        <v>232870.973</v>
      </c>
      <c r="V123" s="283">
        <f ca="1">U123+SUMIF($R$12:$R$113,"1$",V12:V113)</f>
        <v>399069.39</v>
      </c>
      <c r="W123" s="283">
        <f ca="1">V123+SUMIF($R$12:$R$113,"1$",W12:W113)</f>
        <v>399069.39</v>
      </c>
      <c r="X123" s="283">
        <f ca="1">W123+SUMIF($R$12:$R$113,"1$",X12:X113)</f>
        <v>399069.39</v>
      </c>
      <c r="Y123" s="283">
        <f ca="1">X123+SUMIF($R$12:$R$113,"1$",Y12:Y113)</f>
        <v>399069.39</v>
      </c>
      <c r="Z123" s="283">
        <f ca="1">Y123+SUMIF($R$12:$R$113,"1$",Z12:Z113)</f>
        <v>399069.39</v>
      </c>
      <c r="AA123" s="283">
        <f ca="1">Z123+SUMIF($R$12:$R$113,"1$",AA12:AA113)</f>
        <v>399069.39</v>
      </c>
      <c r="AB123" s="283">
        <f ca="1">AA123+SUMIF($R$12:$R$113,"1$",AB12:AB113)</f>
        <v>399069.39</v>
      </c>
      <c r="AC123" s="283">
        <f ca="1">AB123+SUMIF($R$12:$R$113,"1$",AC12:AC113)</f>
        <v>399069.39</v>
      </c>
      <c r="AD123" s="283">
        <f ca="1">AC123+SUMIF($R$12:$R$113,"1$",AD12:AD113)</f>
        <v>399069.39</v>
      </c>
      <c r="AE123" s="284">
        <f ca="1">AD123+SUMIF($R$12:$R$113,"1$",AE12:AE113)</f>
        <v>399069.39</v>
      </c>
      <c r="AF123" s="205">
        <f ca="1">AE123+SUMIF($R$12:$R$113,"1$",AF12:AF113)</f>
        <v>399069.39</v>
      </c>
    </row>
    <row r="124" spans="4:32" x14ac:dyDescent="0.2">
      <c r="F124" s="204" t="s">
        <v>246</v>
      </c>
    </row>
    <row r="125" spans="4:32" ht="32.25" customHeight="1" x14ac:dyDescent="0.2">
      <c r="F125" s="204" t="s">
        <v>246</v>
      </c>
      <c r="H125" s="622" t="str">
        <f>Import.Município</f>
        <v xml:space="preserve">ÁGUAS DE CHAPECÓ </v>
      </c>
      <c r="I125" s="622"/>
      <c r="J125" s="622"/>
      <c r="K125" s="622"/>
      <c r="L125" s="622"/>
      <c r="M125" s="622"/>
      <c r="N125" s="622"/>
      <c r="O125" s="622"/>
      <c r="P125" s="622"/>
      <c r="Q125" s="622"/>
      <c r="R125" s="622"/>
      <c r="Z125" s="553"/>
      <c r="AA125" s="553"/>
      <c r="AB125" s="553"/>
      <c r="AC125" s="553"/>
      <c r="AD125" s="555"/>
      <c r="AE125" s="555"/>
    </row>
    <row r="126" spans="4:32" x14ac:dyDescent="0.2">
      <c r="F126" s="204" t="s">
        <v>246</v>
      </c>
      <c r="H126" s="10" t="s">
        <v>188</v>
      </c>
      <c r="I126"/>
      <c r="J126"/>
      <c r="K126"/>
      <c r="Z126" s="195" t="s">
        <v>190</v>
      </c>
      <c r="AA126" s="195"/>
      <c r="AB126" s="195"/>
      <c r="AC126" s="195"/>
      <c r="AD126" s="204"/>
      <c r="AE126" s="204"/>
    </row>
    <row r="127" spans="4:32" x14ac:dyDescent="0.2">
      <c r="F127" s="204" t="s">
        <v>246</v>
      </c>
      <c r="H127"/>
      <c r="I127"/>
      <c r="J127"/>
      <c r="K127"/>
      <c r="Z127" s="447" t="str">
        <f t="array" aca="1" ref="Z127:Z129" ca="1">OFFSET(Import.RespOrçamento,0,-1) &amp; " " &amp; Import.RespOrçamento</f>
        <v>Nome: RENATA LORENZET</v>
      </c>
      <c r="AB127"/>
      <c r="AC127" s="80"/>
      <c r="AD127" s="204"/>
      <c r="AE127" s="204"/>
    </row>
    <row r="128" spans="4:32" x14ac:dyDescent="0.2">
      <c r="F128" s="204" t="s">
        <v>246</v>
      </c>
      <c r="H128" s="632">
        <f ca="1">DADOS!$F$25</f>
        <v>46310</v>
      </c>
      <c r="I128" s="632"/>
      <c r="J128" s="632"/>
      <c r="K128" s="194"/>
      <c r="L128" s="285"/>
      <c r="M128" s="285"/>
      <c r="N128" s="285"/>
      <c r="O128" s="285"/>
      <c r="P128" s="285"/>
      <c r="Q128" s="285"/>
      <c r="R128" s="286"/>
      <c r="Z128" s="447" t="str">
        <f ca="1"/>
        <v>CREA/CAU: 207.601-3</v>
      </c>
      <c r="AB128" s="80"/>
      <c r="AC128" s="80"/>
      <c r="AD128" s="204"/>
      <c r="AE128" s="204"/>
    </row>
    <row r="129" spans="6:31" x14ac:dyDescent="0.2">
      <c r="F129" s="204" t="s">
        <v>246</v>
      </c>
      <c r="H129" s="10" t="s">
        <v>189</v>
      </c>
      <c r="I129"/>
      <c r="J129"/>
      <c r="K129"/>
      <c r="Z129" s="447" t="str">
        <f ca="1"/>
        <v>ART/RRT: 10734903-0</v>
      </c>
      <c r="AB129" s="80"/>
      <c r="AC129" s="80"/>
      <c r="AD129" s="204"/>
      <c r="AE129" s="204"/>
    </row>
  </sheetData>
  <sheetProtection algorithmName="SHA-512" hashValue="JCN36YZVauj5/YRecycfOlB5qVzD0XTTwdejUfmTvrg+TU5qAznomQjTfTMdsYSx70+jDzdclR5DOnrJKRIheA==" saltValue="M+HL/hiV0R18kyzLsaLD6w==" spinCount="100000" sheet="1" objects="1" scenarios="1" autoFilter="0"/>
  <autoFilter ref="F13:F129" xr:uid="{00000000-0009-0000-0000-000007000000}">
    <filterColumn colId="0">
      <filters>
        <filter val="F"/>
      </filters>
    </filterColumn>
  </autoFilter>
  <mergeCells count="17">
    <mergeCell ref="F8:F11"/>
    <mergeCell ref="H8:I8"/>
    <mergeCell ref="G7:G9"/>
    <mergeCell ref="H114:J115"/>
    <mergeCell ref="G12:G13"/>
    <mergeCell ref="H12:H13"/>
    <mergeCell ref="I12:I13"/>
    <mergeCell ref="H128:J128"/>
    <mergeCell ref="AD4:AE4"/>
    <mergeCell ref="AD5:AE5"/>
    <mergeCell ref="Y8:AD8"/>
    <mergeCell ref="R12:R13"/>
    <mergeCell ref="S12:S13"/>
    <mergeCell ref="K8:S8"/>
    <mergeCell ref="T8:X8"/>
    <mergeCell ref="J10:S11"/>
    <mergeCell ref="H125:R125"/>
  </mergeCells>
  <phoneticPr fontId="38" type="noConversion"/>
  <conditionalFormatting sqref="T12:T13">
    <cfRule type="expression" dxfId="203" priority="2027" stopIfTrue="1">
      <formula>NOT(ISNUMBER(S$12))</formula>
    </cfRule>
  </conditionalFormatting>
  <conditionalFormatting sqref="D2 T2:AF2 T15:AF15 T18:AF18 T21:AF21 T24:AF24 T27:AF27 T30:AF30 T33:AF33 T36:AF36 T39:AF39 T42:AF42 T45:AF45 T48:AF48 T51:AF51 T54:AF54 T57:AF57 T60:AF60 T63:AF63 T66:AF66 T69:AF69 T72:AF72 T75:AF75">
    <cfRule type="expression" dxfId="202" priority="2028" stopIfTrue="1">
      <formula>AND(ISNUMBER($G1),$G1&lt;&gt;0)</formula>
    </cfRule>
  </conditionalFormatting>
  <conditionalFormatting sqref="H2:R2">
    <cfRule type="expression" dxfId="201" priority="2029" stopIfTrue="1">
      <formula>$L1=2</formula>
    </cfRule>
    <cfRule type="expression" dxfId="200" priority="2030" stopIfTrue="1">
      <formula>AND($L1=1,$R1&lt;&gt;"")</formula>
    </cfRule>
  </conditionalFormatting>
  <conditionalFormatting sqref="H1:R1">
    <cfRule type="expression" dxfId="199" priority="2031" stopIfTrue="1">
      <formula>$L1=2</formula>
    </cfRule>
    <cfRule type="expression" dxfId="198" priority="2032" stopIfTrue="1">
      <formula>AND($L1=1,$R1&lt;&gt;"")</formula>
    </cfRule>
  </conditionalFormatting>
  <conditionalFormatting sqref="D114:D118 T115:AE115 T117:AE117">
    <cfRule type="expression" dxfId="197" priority="2033" stopIfTrue="1">
      <formula>D$114=0</formula>
    </cfRule>
  </conditionalFormatting>
  <conditionalFormatting sqref="D119:D123">
    <cfRule type="expression" dxfId="196" priority="2034" stopIfTrue="1">
      <formula>C$119=1</formula>
    </cfRule>
  </conditionalFormatting>
  <conditionalFormatting sqref="U119:AE119 U121:AE121 U123:AE123">
    <cfRule type="expression" dxfId="195" priority="2035" stopIfTrue="1">
      <formula>OFFSET(U$119,0,-1)&gt;=1</formula>
    </cfRule>
  </conditionalFormatting>
  <conditionalFormatting sqref="U120:AE120 U122:AE122">
    <cfRule type="expression" dxfId="194" priority="2036" stopIfTrue="1">
      <formula>OFFSET(U$119,0,-1)&gt;=1</formula>
    </cfRule>
  </conditionalFormatting>
  <conditionalFormatting sqref="T114:AE114 T116:AE116 T118:AE118">
    <cfRule type="expression" dxfId="193" priority="2037" stopIfTrue="1">
      <formula>T$114=0</formula>
    </cfRule>
  </conditionalFormatting>
  <conditionalFormatting sqref="AE7:AE8">
    <cfRule type="expression" dxfId="192" priority="2038" stopIfTrue="1">
      <formula>OR(TIPOORCAMENTO&lt;&gt;"Licitado",QCI.ExisteManual)</formula>
    </cfRule>
  </conditionalFormatting>
  <conditionalFormatting sqref="D1 T1:AE1">
    <cfRule type="expression" dxfId="191" priority="2039" stopIfTrue="1">
      <formula>D1&lt;&gt;0</formula>
    </cfRule>
  </conditionalFormatting>
  <conditionalFormatting sqref="Y7:AD8">
    <cfRule type="expression" dxfId="190" priority="2026" stopIfTrue="1">
      <formula>QCI.ExisteManual</formula>
    </cfRule>
  </conditionalFormatting>
  <conditionalFormatting sqref="D15">
    <cfRule type="expression" dxfId="189" priority="187" stopIfTrue="1">
      <formula>AND(ISNUMBER($G14),$G14&lt;&gt;0)</formula>
    </cfRule>
  </conditionalFormatting>
  <conditionalFormatting sqref="H15:R15">
    <cfRule type="expression" dxfId="188" priority="188" stopIfTrue="1">
      <formula>$L14=2</formula>
    </cfRule>
    <cfRule type="expression" dxfId="187" priority="189" stopIfTrue="1">
      <formula>AND($L14=1,$R14&lt;&gt;"")</formula>
    </cfRule>
  </conditionalFormatting>
  <conditionalFormatting sqref="H14:R14">
    <cfRule type="expression" dxfId="186" priority="190" stopIfTrue="1">
      <formula>$L14=2</formula>
    </cfRule>
    <cfRule type="expression" dxfId="185" priority="191" stopIfTrue="1">
      <formula>AND($L14=1,$R14&lt;&gt;"")</formula>
    </cfRule>
  </conditionalFormatting>
  <conditionalFormatting sqref="D14 T14:AE14">
    <cfRule type="expression" dxfId="184" priority="192" stopIfTrue="1">
      <formula>D14&lt;&gt;0</formula>
    </cfRule>
  </conditionalFormatting>
  <conditionalFormatting sqref="D18 D21 D24">
    <cfRule type="expression" dxfId="183" priority="79" stopIfTrue="1">
      <formula>AND(ISNUMBER($G17),$G17&lt;&gt;0)</formula>
    </cfRule>
  </conditionalFormatting>
  <conditionalFormatting sqref="H18:R18 H21:R21 H24:R24">
    <cfRule type="expression" dxfId="182" priority="80" stopIfTrue="1">
      <formula>$L17=2</formula>
    </cfRule>
    <cfRule type="expression" dxfId="181" priority="81" stopIfTrue="1">
      <formula>AND($L17=1,$R17&lt;&gt;"")</formula>
    </cfRule>
  </conditionalFormatting>
  <conditionalFormatting sqref="H17:R17 H20:R20 H23:R23">
    <cfRule type="expression" dxfId="180" priority="82" stopIfTrue="1">
      <formula>$L17=2</formula>
    </cfRule>
    <cfRule type="expression" dxfId="179" priority="83" stopIfTrue="1">
      <formula>AND($L17=1,$R17&lt;&gt;"")</formula>
    </cfRule>
  </conditionalFormatting>
  <conditionalFormatting sqref="D17 D20 D23 T17:AE17 T20:AE20 T23:AE23">
    <cfRule type="expression" dxfId="178" priority="84" stopIfTrue="1">
      <formula>D17&lt;&gt;0</formula>
    </cfRule>
  </conditionalFormatting>
  <conditionalFormatting sqref="D27 D30 D33">
    <cfRule type="expression" dxfId="177" priority="73" stopIfTrue="1">
      <formula>AND(ISNUMBER($G26),$G26&lt;&gt;0)</formula>
    </cfRule>
  </conditionalFormatting>
  <conditionalFormatting sqref="H27:R27 H30:R30 H33:R33">
    <cfRule type="expression" dxfId="176" priority="74" stopIfTrue="1">
      <formula>$L26=2</formula>
    </cfRule>
    <cfRule type="expression" dxfId="175" priority="75" stopIfTrue="1">
      <formula>AND($L26=1,$R26&lt;&gt;"")</formula>
    </cfRule>
  </conditionalFormatting>
  <conditionalFormatting sqref="H26:R26 H29:R29 H32:R32">
    <cfRule type="expression" dxfId="174" priority="76" stopIfTrue="1">
      <formula>$L26=2</formula>
    </cfRule>
    <cfRule type="expression" dxfId="173" priority="77" stopIfTrue="1">
      <formula>AND($L26=1,$R26&lt;&gt;"")</formula>
    </cfRule>
  </conditionalFormatting>
  <conditionalFormatting sqref="D26 D29 D32 T26:AE26 T29:AE29 T32:AE32">
    <cfRule type="expression" dxfId="172" priority="78" stopIfTrue="1">
      <formula>D26&lt;&gt;0</formula>
    </cfRule>
  </conditionalFormatting>
  <conditionalFormatting sqref="D36 D39 D42">
    <cfRule type="expression" dxfId="171" priority="67" stopIfTrue="1">
      <formula>AND(ISNUMBER($G35),$G35&lt;&gt;0)</formula>
    </cfRule>
  </conditionalFormatting>
  <conditionalFormatting sqref="H36:R36 H39:R39 H42:R42">
    <cfRule type="expression" dxfId="170" priority="68" stopIfTrue="1">
      <formula>$L35=2</formula>
    </cfRule>
    <cfRule type="expression" dxfId="169" priority="69" stopIfTrue="1">
      <formula>AND($L35=1,$R35&lt;&gt;"")</formula>
    </cfRule>
  </conditionalFormatting>
  <conditionalFormatting sqref="H35:R35 H38:R38 H41:R41">
    <cfRule type="expression" dxfId="168" priority="70" stopIfTrue="1">
      <formula>$L35=2</formula>
    </cfRule>
    <cfRule type="expression" dxfId="167" priority="71" stopIfTrue="1">
      <formula>AND($L35=1,$R35&lt;&gt;"")</formula>
    </cfRule>
  </conditionalFormatting>
  <conditionalFormatting sqref="D35 D38 D41 T35:AE35 T38:AE38 T41:AE41">
    <cfRule type="expression" dxfId="166" priority="72" stopIfTrue="1">
      <formula>D35&lt;&gt;0</formula>
    </cfRule>
  </conditionalFormatting>
  <conditionalFormatting sqref="D45 D48 D51">
    <cfRule type="expression" dxfId="165" priority="61" stopIfTrue="1">
      <formula>AND(ISNUMBER($G44),$G44&lt;&gt;0)</formula>
    </cfRule>
  </conditionalFormatting>
  <conditionalFormatting sqref="H45:R45 H48:R48 H51:R51">
    <cfRule type="expression" dxfId="164" priority="62" stopIfTrue="1">
      <formula>$L44=2</formula>
    </cfRule>
    <cfRule type="expression" dxfId="163" priority="63" stopIfTrue="1">
      <formula>AND($L44=1,$R44&lt;&gt;"")</formula>
    </cfRule>
  </conditionalFormatting>
  <conditionalFormatting sqref="H44:R44 H47:R47 H50:R50">
    <cfRule type="expression" dxfId="162" priority="64" stopIfTrue="1">
      <formula>$L44=2</formula>
    </cfRule>
    <cfRule type="expression" dxfId="161" priority="65" stopIfTrue="1">
      <formula>AND($L44=1,$R44&lt;&gt;"")</formula>
    </cfRule>
  </conditionalFormatting>
  <conditionalFormatting sqref="D44 D47 D50 T44:AE44 T47:AE47 T50:AE50">
    <cfRule type="expression" dxfId="160" priority="66" stopIfTrue="1">
      <formula>D44&lt;&gt;0</formula>
    </cfRule>
  </conditionalFormatting>
  <conditionalFormatting sqref="D54 D57">
    <cfRule type="expression" dxfId="159" priority="55" stopIfTrue="1">
      <formula>AND(ISNUMBER($G53),$G53&lt;&gt;0)</formula>
    </cfRule>
  </conditionalFormatting>
  <conditionalFormatting sqref="H54:R54 H57:R57">
    <cfRule type="expression" dxfId="158" priority="56" stopIfTrue="1">
      <formula>$L53=2</formula>
    </cfRule>
    <cfRule type="expression" dxfId="157" priority="57" stopIfTrue="1">
      <formula>AND($L53=1,$R53&lt;&gt;"")</formula>
    </cfRule>
  </conditionalFormatting>
  <conditionalFormatting sqref="H53:R53 H56:R56">
    <cfRule type="expression" dxfId="156" priority="58" stopIfTrue="1">
      <formula>$L53=2</formula>
    </cfRule>
    <cfRule type="expression" dxfId="155" priority="59" stopIfTrue="1">
      <formula>AND($L53=1,$R53&lt;&gt;"")</formula>
    </cfRule>
  </conditionalFormatting>
  <conditionalFormatting sqref="D53 D56 T53:AE53 T56:AE56">
    <cfRule type="expression" dxfId="154" priority="60" stopIfTrue="1">
      <formula>D53&lt;&gt;0</formula>
    </cfRule>
  </conditionalFormatting>
  <conditionalFormatting sqref="D60 D63 D66">
    <cfRule type="expression" dxfId="153" priority="45" stopIfTrue="1">
      <formula>AND(ISNUMBER($G59),$G59&lt;&gt;0)</formula>
    </cfRule>
  </conditionalFormatting>
  <conditionalFormatting sqref="H60:R60 H63:R63 H66:R66">
    <cfRule type="expression" dxfId="152" priority="46" stopIfTrue="1">
      <formula>$L59=2</formula>
    </cfRule>
    <cfRule type="expression" dxfId="151" priority="47" stopIfTrue="1">
      <formula>AND($L59=1,$R59&lt;&gt;"")</formula>
    </cfRule>
  </conditionalFormatting>
  <conditionalFormatting sqref="H59:R59 H62:R62 H65:R65">
    <cfRule type="expression" dxfId="150" priority="48" stopIfTrue="1">
      <formula>$L59=2</formula>
    </cfRule>
    <cfRule type="expression" dxfId="149" priority="49" stopIfTrue="1">
      <formula>AND($L59=1,$R59&lt;&gt;"")</formula>
    </cfRule>
  </conditionalFormatting>
  <conditionalFormatting sqref="D59 D62 D65 T59:AE59 T62:AE62 T65:AE65">
    <cfRule type="expression" dxfId="148" priority="50" stopIfTrue="1">
      <formula>D59&lt;&gt;0</formula>
    </cfRule>
  </conditionalFormatting>
  <conditionalFormatting sqref="D69 D72 D75">
    <cfRule type="expression" dxfId="147" priority="39" stopIfTrue="1">
      <formula>AND(ISNUMBER($G68),$G68&lt;&gt;0)</formula>
    </cfRule>
  </conditionalFormatting>
  <conditionalFormatting sqref="H69:R69 H72:R72 H75:R75">
    <cfRule type="expression" dxfId="146" priority="40" stopIfTrue="1">
      <formula>$L68=2</formula>
    </cfRule>
    <cfRule type="expression" dxfId="145" priority="41" stopIfTrue="1">
      <formula>AND($L68=1,$R68&lt;&gt;"")</formula>
    </cfRule>
  </conditionalFormatting>
  <conditionalFormatting sqref="H68:R68 H71:R71 H74:R74">
    <cfRule type="expression" dxfId="144" priority="42" stopIfTrue="1">
      <formula>$L68=2</formula>
    </cfRule>
    <cfRule type="expression" dxfId="143" priority="43" stopIfTrue="1">
      <formula>AND($L68=1,$R68&lt;&gt;"")</formula>
    </cfRule>
  </conditionalFormatting>
  <conditionalFormatting sqref="D68 D71 D74 T68:AE68 T71:AE71 T74:AE74">
    <cfRule type="expression" dxfId="142" priority="44" stopIfTrue="1">
      <formula>D68&lt;&gt;0</formula>
    </cfRule>
  </conditionalFormatting>
  <conditionalFormatting sqref="D78 D81 D84 T78:AF78 T81:AF81 T84:AF84">
    <cfRule type="expression" dxfId="141" priority="31" stopIfTrue="1">
      <formula>AND(ISNUMBER($G77),$G77&lt;&gt;0)</formula>
    </cfRule>
  </conditionalFormatting>
  <conditionalFormatting sqref="H78:R78 H81:R81 H84:R84">
    <cfRule type="expression" dxfId="140" priority="32" stopIfTrue="1">
      <formula>$L77=2</formula>
    </cfRule>
    <cfRule type="expression" dxfId="139" priority="33" stopIfTrue="1">
      <formula>AND($L77=1,$R77&lt;&gt;"")</formula>
    </cfRule>
  </conditionalFormatting>
  <conditionalFormatting sqref="H77:R77 H80:R80 H83:R83">
    <cfRule type="expression" dxfId="138" priority="34" stopIfTrue="1">
      <formula>$L77=2</formula>
    </cfRule>
    <cfRule type="expression" dxfId="137" priority="35" stopIfTrue="1">
      <formula>AND($L77=1,$R77&lt;&gt;"")</formula>
    </cfRule>
  </conditionalFormatting>
  <conditionalFormatting sqref="D77 D80 D83 T77:AE77 T80:AE80 T83:AE83">
    <cfRule type="expression" dxfId="136" priority="36" stopIfTrue="1">
      <formula>D77&lt;&gt;0</formula>
    </cfRule>
  </conditionalFormatting>
  <conditionalFormatting sqref="D87 D90 D93 T87:AF87 T90:AF90 T93:AF93">
    <cfRule type="expression" dxfId="135" priority="25" stopIfTrue="1">
      <formula>AND(ISNUMBER($G86),$G86&lt;&gt;0)</formula>
    </cfRule>
  </conditionalFormatting>
  <conditionalFormatting sqref="H87:R87 H90:R90 H93:R93">
    <cfRule type="expression" dxfId="134" priority="26" stopIfTrue="1">
      <formula>$L86=2</formula>
    </cfRule>
    <cfRule type="expression" dxfId="133" priority="27" stopIfTrue="1">
      <formula>AND($L86=1,$R86&lt;&gt;"")</formula>
    </cfRule>
  </conditionalFormatting>
  <conditionalFormatting sqref="H86:R86 H89:R89 H92:R92">
    <cfRule type="expression" dxfId="132" priority="28" stopIfTrue="1">
      <formula>$L86=2</formula>
    </cfRule>
    <cfRule type="expression" dxfId="131" priority="29" stopIfTrue="1">
      <formula>AND($L86=1,$R86&lt;&gt;"")</formula>
    </cfRule>
  </conditionalFormatting>
  <conditionalFormatting sqref="D86 D89 D92 T86:AE86 T89:AE89 T92:AE92">
    <cfRule type="expression" dxfId="130" priority="30" stopIfTrue="1">
      <formula>D86&lt;&gt;0</formula>
    </cfRule>
  </conditionalFormatting>
  <conditionalFormatting sqref="D96 D99 D102 T96:AF96 T99:AF99 T102:AF102">
    <cfRule type="expression" dxfId="129" priority="19" stopIfTrue="1">
      <formula>AND(ISNUMBER($G95),$G95&lt;&gt;0)</formula>
    </cfRule>
  </conditionalFormatting>
  <conditionalFormatting sqref="H96:R96 H99:R99 H102:R102">
    <cfRule type="expression" dxfId="128" priority="20" stopIfTrue="1">
      <formula>$L95=2</formula>
    </cfRule>
    <cfRule type="expression" dxfId="127" priority="21" stopIfTrue="1">
      <formula>AND($L95=1,$R95&lt;&gt;"")</formula>
    </cfRule>
  </conditionalFormatting>
  <conditionalFormatting sqref="H95:R95 H98:R98 H101:R101">
    <cfRule type="expression" dxfId="126" priority="22" stopIfTrue="1">
      <formula>$L95=2</formula>
    </cfRule>
    <cfRule type="expression" dxfId="125" priority="23" stopIfTrue="1">
      <formula>AND($L95=1,$R95&lt;&gt;"")</formula>
    </cfRule>
  </conditionalFormatting>
  <conditionalFormatting sqref="D95 D98 D101 T95:AE95 T98:AE98 T101:AE101">
    <cfRule type="expression" dxfId="124" priority="24" stopIfTrue="1">
      <formula>D95&lt;&gt;0</formula>
    </cfRule>
  </conditionalFormatting>
  <conditionalFormatting sqref="D105 D108 T105:AF105 T108:AF108">
    <cfRule type="expression" dxfId="123" priority="13" stopIfTrue="1">
      <formula>AND(ISNUMBER($G104),$G104&lt;&gt;0)</formula>
    </cfRule>
  </conditionalFormatting>
  <conditionalFormatting sqref="H105:R105 H108:R108">
    <cfRule type="expression" dxfId="122" priority="14" stopIfTrue="1">
      <formula>$L104=2</formula>
    </cfRule>
    <cfRule type="expression" dxfId="121" priority="15" stopIfTrue="1">
      <formula>AND($L104=1,$R104&lt;&gt;"")</formula>
    </cfRule>
  </conditionalFormatting>
  <conditionalFormatting sqref="H104:R104 H107:R107">
    <cfRule type="expression" dxfId="120" priority="16" stopIfTrue="1">
      <formula>$L104=2</formula>
    </cfRule>
    <cfRule type="expression" dxfId="119" priority="17" stopIfTrue="1">
      <formula>AND($L104=1,$R104&lt;&gt;"")</formula>
    </cfRule>
  </conditionalFormatting>
  <conditionalFormatting sqref="D104 D107 T104:AE104 T107:AE107">
    <cfRule type="expression" dxfId="118" priority="18" stopIfTrue="1">
      <formula>D104&lt;&gt;0</formula>
    </cfRule>
  </conditionalFormatting>
  <conditionalFormatting sqref="D111 T111:AF111">
    <cfRule type="expression" dxfId="117" priority="7" stopIfTrue="1">
      <formula>AND(ISNUMBER($G110),$G110&lt;&gt;0)</formula>
    </cfRule>
  </conditionalFormatting>
  <conditionalFormatting sqref="H111:R111">
    <cfRule type="expression" dxfId="116" priority="8" stopIfTrue="1">
      <formula>$L110=2</formula>
    </cfRule>
    <cfRule type="expression" dxfId="115" priority="9" stopIfTrue="1">
      <formula>AND($L110=1,$R110&lt;&gt;"")</formula>
    </cfRule>
  </conditionalFormatting>
  <conditionalFormatting sqref="H110:R110">
    <cfRule type="expression" dxfId="114" priority="10" stopIfTrue="1">
      <formula>$L110=2</formula>
    </cfRule>
    <cfRule type="expression" dxfId="113" priority="11" stopIfTrue="1">
      <formula>AND($L110=1,$R110&lt;&gt;"")</formula>
    </cfRule>
  </conditionalFormatting>
  <conditionalFormatting sqref="D110 T110:AE110">
    <cfRule type="expression" dxfId="112" priority="12" stopIfTrue="1">
      <formula>D110&lt;&gt;0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20:AE20 D14 T23:AE23 D17 D20 D23 T26:AE26 T29:AE29 T32:AE32 D26 D29 D32 T35:AE35 T38:AE38 T41:AE41 D35 D38 D41 T44:AE44 T47:AE47 T50:AE50 D44 D47 D50 T53:AE53 T56:AE56 T1:AE1 D53 D56 T14:AE14 T59:AE59 D59 D62 D65 T62:AE62 T65:AE65 T68:AE68 D68 D71 D74 T71:AE71 T74:AE74 T17:AE17 D77 D80 D83 T77:AE77 T80:AE80 T83:AE83 D86 D89 D92 T86:AE86 T89:AE89 T92:AE92 D95 D98 D101 T95:AE95 T98:AE98 T101:AE101 D104 D107 T104:AE104 T107:AE107 D110 T110:AE110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D15 D18 D21 D24 D27 D30 D33 D36 D39 D42 D45 D48 D51 D54 D57 D60 D63 D66 D69 D72 D75 T2:AF2 T15:AF15 T18:AF18 T21:AF21 T24:AF24 T27:AF27 T30:AF30 T33:AF33 T36:AF36 T39:AF39 T42:AF42 T45:AF45 T48:AF48 T51:AF51 T54:AF54 T57:AF57 T60:AF60 T63:AF63 T66:AF66 T69:AF69 T72:AF72 T75:AF75 D78 D81 D84 T78:AF78 T81:AF81 T84:AF84 D87 D90 D93 T87:AF87 T90:AF90 T93:AF93 D96 D99 D102 T96:AF96 T99:AF99 T102:AF102 D105 D108 T105:AF105 T108:AF108 D111 T111:AF111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38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G16" sqref="G16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IF(AUTOEVENTO="Manual",IF(OFFSET(EVENTOS!$F$14,CRONOPLE!$B1,0)&gt;0,"F",""),IF(CRONOPLE!B1&lt;=MAX(CÁLCULO!$M$15:$M$165),"F",""))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IF(AUTOEVENTO="Manual",IF($B1&lt;&gt;1,OFFSET(EVENTOS!$D$14,$B1,0),0),IF(B1&lt;=MAX(CÁLCULO!$M$15:$M$165),VLOOKUP($B1,CÁLCULO!$M$15:$N$165,2,FALSE),0))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CRONO",IF(MAX($B$14:$B$38)&lt;MAX(CÁLCULO!$M$15:$M$165),"ERRO: NÚMERO DE EVENTOS INSUFICIENTE, CLIQUE EM ATUALIZAR LINHAS",IF(ROUND(OFFSET(CRONO!$AF$123,0,-1),2)&lt;&gt;CRONO!$Q$114,"ERRO: CRONOGRAMA NÃO FECHA 100%","")))</f>
        <v>NO ACOMPANHAMENTO POR BM, UTILIZE A ABA CRONO</v>
      </c>
    </row>
    <row r="11" spans="1:31" ht="65.25" customHeight="1" x14ac:dyDescent="0.2">
      <c r="A11" s="291"/>
      <c r="C11" s="292"/>
      <c r="E11" s="293">
        <f ca="1">IF(E$12&gt;CÁLCULO.NúmeroDeFrentes,"",OFFSET(CÁLCULO!$P$12,0,E$12))</f>
        <v>0</v>
      </c>
      <c r="G11" s="293">
        <f ca="1">IF(G$12&gt;CÁLCULO.NúmeroDeFrentes,"",OFFSET(CÁLCULO!$P$12,0,G$12))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IF(AUTOEVENTO="Manual",IF(OFFSET(EVENTOS!$F$14,CRONOPLE!$B16,0)&gt;0,"F",""),IF(CRONOPLE!B16&lt;=MAX(CÁLCULO!$M$15:$M$165),"F",""))</f>
        <v>F</v>
      </c>
      <c r="B16" s="287">
        <f t="shared" ref="B16:B37" ca="1" si="1">OFFSET(B16,-1,0)+1</f>
        <v>2</v>
      </c>
      <c r="C16" s="288" t="str">
        <f ca="1">IF(AUTOEVENTO="Manual",IF($B16&lt;&gt;1,OFFSET(EVENTOS!$D$14,$B16,0),0),IF(B16&lt;=MAX(CÁLCULO!$M$15:$M$165),VLOOKUP($B16,CÁLCULO!$M$15:$N$165,2,FALSE),0))</f>
        <v xml:space="preserve">PROJETOS E EXECUÇÃO </v>
      </c>
      <c r="E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IF(AUTOEVENTO="Manual",IF(OFFSET(EVENTOS!$F$14,CRONOPLE!$B17,0)&gt;0,"F",""),IF(CRONOPLE!B17&lt;=MAX(CÁLCULO!$M$15:$M$165),"F",""))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IF(AUTOEVENTO="Manual",IF($B17&lt;&gt;1,OFFSET(EVENTOS!$D$14,$B17,0),0),IF(B17&lt;=MAX(CÁLCULO!$M$15:$M$165),VLOOKUP($B17,CÁLCULO!$M$15:$N$165,2,FALSE),0))</f>
        <v xml:space="preserve">SERVIÇOS INICIAIS E LOCAÇÃO </v>
      </c>
      <c r="E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IF(AUTOEVENTO="Manual",IF(OFFSET(EVENTOS!$F$14,CRONOPLE!$B18,0)&gt;0,"F",""),IF(CRONOPLE!B18&lt;=MAX(CÁLCULO!$M$15:$M$165),"F",""))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IF(AUTOEVENTO="Manual",IF($B18&lt;&gt;1,OFFSET(EVENTOS!$D$14,$B18,0),0),IF(B18&lt;=MAX(CÁLCULO!$M$15:$M$165),VLOOKUP($B18,CÁLCULO!$M$15:$N$165,2,FALSE),0))</f>
        <v>SAPATA ISOLADA</v>
      </c>
      <c r="E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IF(AUTOEVENTO="Manual",IF(OFFSET(EVENTOS!$F$14,CRONOPLE!$B19,0)&gt;0,"F",""),IF(CRONOPLE!B19&lt;=MAX(CÁLCULO!$M$15:$M$165),"F",""))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IF(AUTOEVENTO="Manual",IF($B19&lt;&gt;1,OFFSET(EVENTOS!$D$14,$B19,0),0),IF(B19&lt;=MAX(CÁLCULO!$M$15:$M$165),VLOOKUP($B19,CÁLCULO!$M$15:$N$165,2,FALSE),0))</f>
        <v>VIGA BALDRAME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IF(AUTOEVENTO="Manual",IF(OFFSET(EVENTOS!$F$14,CRONOPLE!$B20,0)&gt;0,"F",""),IF(CRONOPLE!B20&lt;=MAX(CÁLCULO!$M$15:$M$165),"F",""))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IF(AUTOEVENTO="Manual",IF($B20&lt;&gt;1,OFFSET(EVENTOS!$D$14,$B20,0),0),IF(B20&lt;=MAX(CÁLCULO!$M$15:$M$165),VLOOKUP($B20,CÁLCULO!$M$15:$N$165,2,FALSE),0))</f>
        <v xml:space="preserve">PILARES 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IF(AUTOEVENTO="Manual",IF(OFFSET(EVENTOS!$F$14,CRONOPLE!$B21,0)&gt;0,"F",""),IF(CRONOPLE!B21&lt;=MAX(CÁLCULO!$M$15:$M$165),"F",""))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IF(AUTOEVENTO="Manual",IF($B21&lt;&gt;1,OFFSET(EVENTOS!$D$14,$B21,0),0),IF(B21&lt;=MAX(CÁLCULO!$M$15:$M$165),VLOOKUP($B21,CÁLCULO!$M$15:$N$165,2,FALSE),0))</f>
        <v>VIGA CINTA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IF(AUTOEVENTO="Manual",IF(OFFSET(EVENTOS!$F$14,CRONOPLE!$B22,0)&gt;0,"F",""),IF(CRONOPLE!B22&lt;=MAX(CÁLCULO!$M$15:$M$165),"F",""))</f>
        <v>F</v>
      </c>
      <c r="B22" s="287">
        <f t="shared" ca="1" si="1"/>
        <v>8</v>
      </c>
      <c r="C22" s="288" t="str">
        <f ca="1">IF(AUTOEVENTO="Manual",IF($B22&lt;&gt;1,OFFSET(EVENTOS!$D$14,$B22,0),0),IF(B22&lt;=MAX(CÁLCULO!$M$15:$M$165),VLOOKUP($B22,CÁLCULO!$M$15:$N$165,2,FALSE),0))</f>
        <v>ALVENARIA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IF(AUTOEVENTO="Manual",IF(OFFSET(EVENTOS!$F$14,CRONOPLE!$B23,0)&gt;0,"F",""),IF(CRONOPLE!B23&lt;=MAX(CÁLCULO!$M$15:$M$165),"F",""))</f>
        <v>F</v>
      </c>
      <c r="B23" s="287">
        <f t="shared" ca="1" si="1"/>
        <v>9</v>
      </c>
      <c r="C23" s="288" t="str">
        <f ca="1">IF(AUTOEVENTO="Manual",IF($B23&lt;&gt;1,OFFSET(EVENTOS!$D$14,$B23,0),0),IF(B23&lt;=MAX(CÁLCULO!$M$15:$M$165),VLOOKUP($B23,CÁLCULO!$M$15:$N$165,2,FALSE),0))</f>
        <v>REVESTIMENTOS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IF(AUTOEVENTO="Manual",IF(OFFSET(EVENTOS!$F$14,CRONOPLE!$B24,0)&gt;0,"F",""),IF(CRONOPLE!B24&lt;=MAX(CÁLCULO!$M$15:$M$165),"F",""))</f>
        <v>F</v>
      </c>
      <c r="B24" s="287">
        <f t="shared" ca="1" si="1"/>
        <v>10</v>
      </c>
      <c r="C24" s="288" t="str">
        <f ca="1">IF(AUTOEVENTO="Manual",IF($B24&lt;&gt;1,OFFSET(EVENTOS!$D$14,$B24,0),0),IF(B24&lt;=MAX(CÁLCULO!$M$15:$M$165),VLOOKUP($B24,CÁLCULO!$M$15:$N$165,2,FALSE),0))</f>
        <v xml:space="preserve">ESQUADRIAS 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IF(AUTOEVENTO="Manual",IF(OFFSET(EVENTOS!$F$14,CRONOPLE!$B25,0)&gt;0,"F",""),IF(CRONOPLE!B25&lt;=MAX(CÁLCULO!$M$15:$M$165),"F",""))</f>
        <v>F</v>
      </c>
      <c r="B25" s="287">
        <f t="shared" ca="1" si="1"/>
        <v>11</v>
      </c>
      <c r="C25" s="288" t="str">
        <f ca="1">IF(AUTOEVENTO="Manual",IF($B25&lt;&gt;1,OFFSET(EVENTOS!$D$14,$B25,0),0),IF(B25&lt;=MAX(CÁLCULO!$M$15:$M$165),VLOOKUP($B25,CÁLCULO!$M$15:$N$165,2,FALSE),0))</f>
        <v>GRADIL METÁLICO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IF(AUTOEVENTO="Manual",IF(OFFSET(EVENTOS!$F$14,CRONOPLE!$B26,0)&gt;0,"F",""),IF(CRONOPLE!B26&lt;=MAX(CÁLCULO!$M$15:$M$165),"F",""))</f>
        <v>F</v>
      </c>
      <c r="B26" s="287">
        <f t="shared" ca="1" si="1"/>
        <v>12</v>
      </c>
      <c r="C26" s="288" t="str">
        <f ca="1">IF(AUTOEVENTO="Manual",IF($B26&lt;&gt;1,OFFSET(EVENTOS!$D$14,$B26,0),0),IF(B26&lt;=MAX(CÁLCULO!$M$15:$M$165),VLOOKUP($B26,CÁLCULO!$M$15:$N$165,2,FALSE),0))</f>
        <v xml:space="preserve">COBERTURA 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IF(AUTOEVENTO="Manual",IF(OFFSET(EVENTOS!$F$14,CRONOPLE!$B27,0)&gt;0,"F",""),IF(CRONOPLE!B27&lt;=MAX(CÁLCULO!$M$15:$M$165),"F",""))</f>
        <v>F</v>
      </c>
      <c r="B27" s="287">
        <f t="shared" ca="1" si="1"/>
        <v>13</v>
      </c>
      <c r="C27" s="288" t="str">
        <f ca="1">IF(AUTOEVENTO="Manual",IF($B27&lt;&gt;1,OFFSET(EVENTOS!$D$14,$B27,0),0),IF(B27&lt;=MAX(CÁLCULO!$M$15:$M$165),VLOOKUP($B27,CÁLCULO!$M$15:$N$165,2,FALSE),0))</f>
        <v xml:space="preserve">FORRO 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IF(AUTOEVENTO="Manual",IF(OFFSET(EVENTOS!$F$14,CRONOPLE!$B28,0)&gt;0,"F",""),IF(CRONOPLE!B28&lt;=MAX(CÁLCULO!$M$15:$M$165),"F",""))</f>
        <v>F</v>
      </c>
      <c r="B28" s="287">
        <f t="shared" ca="1" si="1"/>
        <v>14</v>
      </c>
      <c r="C28" s="288" t="str">
        <f ca="1">IF(AUTOEVENTO="Manual",IF($B28&lt;&gt;1,OFFSET(EVENTOS!$D$14,$B28,0),0),IF(B28&lt;=MAX(CÁLCULO!$M$15:$M$165),VLOOKUP($B28,CÁLCULO!$M$15:$N$165,2,FALSE),0))</f>
        <v>RAMAL DE ENTRADA DE ENERGIA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IF(AUTOEVENTO="Manual",IF(OFFSET(EVENTOS!$F$14,CRONOPLE!$B29,0)&gt;0,"F",""),IF(CRONOPLE!B29&lt;=MAX(CÁLCULO!$M$15:$M$165),"F",""))</f>
        <v>F</v>
      </c>
      <c r="B29" s="287">
        <f t="shared" ca="1" si="1"/>
        <v>15</v>
      </c>
      <c r="C29" s="288" t="str">
        <f ca="1">IF(AUTOEVENTO="Manual",IF($B29&lt;&gt;1,OFFSET(EVENTOS!$D$14,$B29,0),0),IF(B29&lt;=MAX(CÁLCULO!$M$15:$M$165),VLOOKUP($B29,CÁLCULO!$M$15:$N$165,2,FALSE),0))</f>
        <v>INSTALAÇÕES ELÉTRICAS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IF(AUTOEVENTO="Manual",IF(OFFSET(EVENTOS!$F$14,CRONOPLE!$B30,0)&gt;0,"F",""),IF(CRONOPLE!B30&lt;=MAX(CÁLCULO!$M$15:$M$165),"F",""))</f>
        <v>F</v>
      </c>
      <c r="B30" s="287">
        <f t="shared" ca="1" si="1"/>
        <v>16</v>
      </c>
      <c r="C30" s="288" t="str">
        <f ca="1">IF(AUTOEVENTO="Manual",IF($B30&lt;&gt;1,OFFSET(EVENTOS!$D$14,$B30,0),0),IF(B30&lt;=MAX(CÁLCULO!$M$15:$M$165),VLOOKUP($B30,CÁLCULO!$M$15:$N$165,2,FALSE),0))</f>
        <v xml:space="preserve">INSTALAÇÕES HIDROSSANITÁRIAS 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IF(AUTOEVENTO="Manual",IF(OFFSET(EVENTOS!$F$14,CRONOPLE!$B31,0)&gt;0,"F",""),IF(CRONOPLE!B31&lt;=MAX(CÁLCULO!$M$15:$M$165),"F",""))</f>
        <v>F</v>
      </c>
      <c r="B31" s="287">
        <f t="shared" ca="1" si="1"/>
        <v>17</v>
      </c>
      <c r="C31" s="288" t="str">
        <f ca="1">IF(AUTOEVENTO="Manual",IF($B31&lt;&gt;1,OFFSET(EVENTOS!$D$14,$B31,0),0),IF(B31&lt;=MAX(CÁLCULO!$M$15:$M$165),VLOOKUP($B31,CÁLCULO!$M$15:$N$165,2,FALSE),0))</f>
        <v>PISO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IF(AUTOEVENTO="Manual",IF(OFFSET(EVENTOS!$F$14,CRONOPLE!$B32,0)&gt;0,"F",""),IF(CRONOPLE!B32&lt;=MAX(CÁLCULO!$M$15:$M$165),"F",""))</f>
        <v>F</v>
      </c>
      <c r="B32" s="287">
        <f t="shared" ca="1" si="1"/>
        <v>18</v>
      </c>
      <c r="C32" s="288" t="str">
        <f ca="1">IF(AUTOEVENTO="Manual",IF($B32&lt;&gt;1,OFFSET(EVENTOS!$D$14,$B32,0),0),IF(B32&lt;=MAX(CÁLCULO!$M$15:$M$165),VLOOKUP($B32,CÁLCULO!$M$15:$N$165,2,FALSE),0))</f>
        <v xml:space="preserve">PINTURA 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IF(AUTOEVENTO="Manual",IF(OFFSET(EVENTOS!$F$14,CRONOPLE!$B33,0)&gt;0,"F",""),IF(CRONOPLE!B33&lt;=MAX(CÁLCULO!$M$15:$M$165),"F",""))</f>
        <v>F</v>
      </c>
      <c r="B33" s="287">
        <f t="shared" ca="1" si="1"/>
        <v>19</v>
      </c>
      <c r="C33" s="288" t="str">
        <f ca="1">IF(AUTOEVENTO="Manual",IF($B33&lt;&gt;1,OFFSET(EVENTOS!$D$14,$B33,0),0),IF(B33&lt;=MAX(CÁLCULO!$M$15:$M$165),VLOOKUP($B33,CÁLCULO!$M$15:$N$165,2,FALSE),0))</f>
        <v>ACESSÓRIOS  E ACESSIBILIDADE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IF(AUTOEVENTO="Manual",IF(OFFSET(EVENTOS!$F$14,CRONOPLE!$B34,0)&gt;0,"F",""),IF(CRONOPLE!B34&lt;=MAX(CÁLCULO!$M$15:$M$165),"F",""))</f>
        <v>F</v>
      </c>
      <c r="B34" s="287">
        <f t="shared" ca="1" si="1"/>
        <v>20</v>
      </c>
      <c r="C34" s="288" t="str">
        <f ca="1">IF(AUTOEVENTO="Manual",IF($B34&lt;&gt;1,OFFSET(EVENTOS!$D$14,$B34,0),0),IF(B34&lt;=MAX(CÁLCULO!$M$15:$M$165),VLOOKUP($B34,CÁLCULO!$M$15:$N$165,2,FALSE),0))</f>
        <v xml:space="preserve">MARMORARIA 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IF(AUTOEVENTO="Manual",IF(OFFSET(EVENTOS!$F$14,CRONOPLE!$B35,0)&gt;0,"F",""),IF(CRONOPLE!B35&lt;=MAX(CÁLCULO!$M$15:$M$165),"F",""))</f>
        <v>F</v>
      </c>
      <c r="B35" s="287">
        <f t="shared" ca="1" si="1"/>
        <v>21</v>
      </c>
      <c r="C35" s="288" t="str">
        <f ca="1">IF(AUTOEVENTO="Manual",IF($B35&lt;&gt;1,OFFSET(EVENTOS!$D$14,$B35,0),0),IF(B35&lt;=MAX(CÁLCULO!$M$15:$M$165),VLOOKUP($B35,CÁLCULO!$M$15:$N$165,2,FALSE),0))</f>
        <v>PREVENTIVO DE INCENDIO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IF(AUTOEVENTO="Manual",IF(OFFSET(EVENTOS!$F$14,CRONOPLE!$B36,0)&gt;0,"F",""),IF(CRONOPLE!B36&lt;=MAX(CÁLCULO!$M$15:$M$165),"F",""))</f>
        <v>F</v>
      </c>
      <c r="B36" s="287">
        <f t="shared" ca="1" si="1"/>
        <v>22</v>
      </c>
      <c r="C36" s="288" t="str">
        <f ca="1">IF(AUTOEVENTO="Manual",IF($B36&lt;&gt;1,OFFSET(EVENTOS!$D$14,$B36,0),0),IF(B36&lt;=MAX(CÁLCULO!$M$15:$M$165),VLOOKUP($B36,CÁLCULO!$M$15:$N$165,2,FALSE),0))</f>
        <v xml:space="preserve">ALAMBRADO 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IF(AUTOEVENTO="Manual",IF(OFFSET(EVENTOS!$F$14,CRONOPLE!$B37,0)&gt;0,"F",""),IF(CRONOPLE!B37&lt;=MAX(CÁLCULO!$M$15:$M$165),"F",""))</f>
        <v>F</v>
      </c>
      <c r="B37" s="287">
        <f t="shared" ca="1" si="1"/>
        <v>23</v>
      </c>
      <c r="C37" s="288" t="str">
        <f ca="1">IF(AUTOEVENTO="Manual",IF($B37&lt;&gt;1,OFFSET(EVENTOS!$D$14,$B37,0),0),IF(B37&lt;=MAX(CÁLCULO!$M$15:$M$165),VLOOKUP($B37,CÁLCULO!$M$15:$N$165,2,FALSE),0))</f>
        <v>ILUMINAÇÃO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ht="5.0999999999999996" customHeight="1" x14ac:dyDescent="0.2">
      <c r="B38" s="510"/>
      <c r="C38" s="511"/>
      <c r="E38" s="303"/>
      <c r="F38" s="303"/>
      <c r="G38" s="510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1"/>
    </row>
  </sheetData>
  <sheetProtection algorithmName="SHA-512" hashValue="wS+YCcqGHxyfv7PP5Mv8qDUW7//SxFgVc8BwC3omn0AmfEDSfD2lEWGpc68els2YC2GgntAI+vTVsgjgX/w+gA==" saltValue="LROmOsGRelkNNYYVHygR+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111" priority="109" stopIfTrue="1">
      <formula>IF(OR(E$12&gt;CÁLCULO.NúmeroDeFrentes,ACOMPANHAMENTO="BM"),TRUE,CRONOPLE.ValorDoEvento=0)</formula>
    </cfRule>
  </conditionalFormatting>
  <conditionalFormatting sqref="E16:E24 G16:AE24">
    <cfRule type="expression" dxfId="110" priority="6" stopIfTrue="1">
      <formula>IF(OR(E$12&gt;CÁLCULO.NúmeroDeFrentes,ACOMPANHAMENTO="BM"),TRUE,CRONOPLE.ValorDoEvento=0)</formula>
    </cfRule>
  </conditionalFormatting>
  <conditionalFormatting sqref="E25:E33 G25:AE33">
    <cfRule type="expression" dxfId="109" priority="5" stopIfTrue="1">
      <formula>IF(OR(E$12&gt;CÁLCULO.NúmeroDeFrentes,ACOMPANHAMENTO="BM"),TRUE,CRONOPLE.ValorDoEvento=0)</formula>
    </cfRule>
  </conditionalFormatting>
  <conditionalFormatting sqref="E34:E37 G34:AE37">
    <cfRule type="expression" dxfId="108" priority="4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37 E16:E37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/>
  <dimension ref="A1:AG53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 activeCell="W25" sqref="W25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IF(AUTOEVENTO="Manual",IF(OFFSET(EVENTOS!$F$14,PLE!$B1,0)&gt;0,"F",""),IF(PLE!B1&lt;=MAX(CÁLCULO!$M$15:$M$165),"F",""))</f>
        <v>#REF!</v>
      </c>
      <c r="B1" s="287" t="e">
        <f ca="1">OFFSET(B1,-1,0)+1</f>
        <v>#REF!</v>
      </c>
      <c r="C1" s="649" t="e">
        <f ca="1">IF(AUTOEVENTO="Manual",IF($B1&lt;&gt;1,OFFSET(EVENTOS!$D$14,$B1,0),0),IF(B1&lt;=MAX(CÁLCULO!$M$15:$M$165),VLOOKUP($B1,CÁLCULO!$M$15:$N$165,2,FALSE),0))</f>
        <v>#REF!</v>
      </c>
      <c r="D1" s="649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604" t="s">
        <v>140</v>
      </c>
      <c r="AE3" s="604"/>
      <c r="AF3" s="604"/>
    </row>
    <row r="4" spans="1:33" ht="15.75" x14ac:dyDescent="0.2">
      <c r="B4" s="83"/>
      <c r="C4" s="83"/>
      <c r="H4" s="84" t="str">
        <f>import.recurso</f>
        <v>(SELECIONAR)</v>
      </c>
      <c r="AD4" s="605" t="s">
        <v>143</v>
      </c>
      <c r="AE4" s="605"/>
      <c r="AF4" s="605"/>
    </row>
    <row r="6" spans="1:33" x14ac:dyDescent="0.2">
      <c r="B6" s="231" t="s">
        <v>146</v>
      </c>
      <c r="C6" s="304"/>
      <c r="D6" s="233" t="s">
        <v>443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62" t="str">
        <f>IF(TIPOORCAMENTO="Licitado","Nº CTEF","")</f>
        <v/>
      </c>
      <c r="AF6" s="662"/>
    </row>
    <row r="7" spans="1:33" x14ac:dyDescent="0.2">
      <c r="B7" s="637">
        <f>Import.CR</f>
        <v>0</v>
      </c>
      <c r="C7" s="637"/>
      <c r="D7" s="237">
        <f>Import.TransfereGOV</f>
        <v>0</v>
      </c>
      <c r="E7" s="43"/>
      <c r="H7" s="636" t="str">
        <f>Import.Proponente</f>
        <v>PREFEITURA MUNICIPAL DE ÁGUAS DE CHAPECÓ</v>
      </c>
      <c r="I7" s="636"/>
      <c r="J7" s="636"/>
      <c r="K7" s="636"/>
      <c r="L7" s="636"/>
      <c r="M7" s="636"/>
      <c r="N7" s="636"/>
      <c r="O7" s="637" t="str">
        <f>Import.Apelido</f>
        <v>SEDE ESPORTIVA, ILUMINAÇÃO E ALAMBRADO DO CAMPO</v>
      </c>
      <c r="P7" s="637"/>
      <c r="Q7" s="637"/>
      <c r="R7" s="637"/>
      <c r="S7" s="637"/>
      <c r="T7" s="637"/>
      <c r="U7" s="637"/>
      <c r="V7" s="637" t="str">
        <f>IF(TIPOORCAMENTO="Licitado",Import.empresa,Import.DescLote)</f>
        <v xml:space="preserve">SEDE ESPORTIVA </v>
      </c>
      <c r="W7" s="637"/>
      <c r="X7" s="637"/>
      <c r="Y7" s="637"/>
      <c r="Z7" s="637"/>
      <c r="AA7" s="637"/>
      <c r="AB7" s="637"/>
      <c r="AC7" s="637"/>
      <c r="AD7" s="637"/>
      <c r="AE7" s="666" t="str">
        <f>IF(TIPOORCAMENTO="Licitado",Import.CTEF,"")</f>
        <v/>
      </c>
      <c r="AF7" s="666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64">
        <v>1</v>
      </c>
      <c r="K9" s="664"/>
      <c r="M9" s="308" t="s">
        <v>283</v>
      </c>
      <c r="N9" s="665" t="str">
        <f ca="1">TEXT(IF(PLE.Medicao=1,Import.DataInicioObra,OFFSET($H$41,0,1+(PLE.Medicao-$I$42)*2-2)+1),"dd/mm/aaaa")&amp;" a "&amp;TEXT(OFFSET($H$41,0,1+(PLE.Medicao-$I$42)*2),"dd/mm/aaaa")</f>
        <v>00/01/1900 a 00/01/1900</v>
      </c>
      <c r="O9" s="665"/>
      <c r="P9" s="665"/>
      <c r="Q9" s="665"/>
      <c r="R9" s="665"/>
      <c r="S9" s="665"/>
      <c r="T9" s="665"/>
      <c r="U9" s="309"/>
      <c r="X9" s="308" t="s">
        <v>295</v>
      </c>
      <c r="Y9" s="667">
        <f ca="1">OFFSET($I$42,1+8*(ROUNDUP(($J$9-0)/((COLUMN($AG$14)-COLUMN($G$14)-1)/25*12),0)-1),ROUNDDOWN((($J$9-0)-OFFSET($I$42,8*(ROUNDUP(($J$9-0)/((COLUMN($AG$14)-COLUMN($G$14)-1)/25*12),0)-1),0))*(2+1/12),0))</f>
        <v>0</v>
      </c>
      <c r="Z9" s="667"/>
      <c r="AD9" s="308" t="s">
        <v>296</v>
      </c>
      <c r="AE9" s="667">
        <f ca="1">OFFSET($I$42,3+8*(ROUNDUP(($J$9-0)/((COLUMN($AG$14)-COLUMN($G$14)-1)/25*12),0)-1),ROUNDDOWN((($J$9-0)-OFFSET($I$42,8*(ROUNDUP(($J$9-0)/((COLUMN($AG$14)-COLUMN($G$14)-1)/25*12),0)-1),0))*(2+1/12),0))</f>
        <v>0</v>
      </c>
      <c r="AF9" s="667"/>
    </row>
    <row r="11" spans="1:33" ht="65.25" customHeight="1" x14ac:dyDescent="0.2">
      <c r="A11" s="291" t="s">
        <v>290</v>
      </c>
      <c r="C11" s="663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63"/>
      <c r="F11" s="293">
        <f ca="1">IF(F$12&gt;CÁLCULO.NúmeroDeFrentes,"",OFFSET(CÁLCULO!$P$12,0,F$12))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61" t="s">
        <v>269</v>
      </c>
      <c r="D15" s="661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IF(AUTOEVENTO="Manual",IF(OFFSET(EVENTOS!$F$14,PLE!$B16,0)&gt;0,"F",""),IF(PLE!B16&lt;=MAX(CÁLCULO!$M$15:$M$165),"F",""))</f>
        <v>F</v>
      </c>
      <c r="B16" s="287">
        <f t="shared" ref="B16:B37" ca="1" si="1">OFFSET(B16,-1,0)+1</f>
        <v>2</v>
      </c>
      <c r="C16" s="649" t="str">
        <f ca="1">IF(AUTOEVENTO="Manual",IF($B16&lt;&gt;1,OFFSET(EVENTOS!$D$14,$B16,0),0),IF(B16&lt;=MAX(CÁLCULO!$M$15:$M$165),VLOOKUP($B16,CÁLCULO!$M$15:$N$165,2,FALSE),0))</f>
        <v xml:space="preserve">PROJETOS E EXECUÇÃO </v>
      </c>
      <c r="D16" s="649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IF(AUTOEVENTO="Manual",IF(OFFSET(EVENTOS!$F$14,PLE!$B17,0)&gt;0,"F",""),IF(PLE!B17&lt;=MAX(CÁLCULO!$M$15:$M$165),"F",""))</f>
        <v>F</v>
      </c>
      <c r="B17" s="287">
        <f t="shared" ca="1" si="1"/>
        <v>3</v>
      </c>
      <c r="C17" s="649" t="str">
        <f ca="1">IF(AUTOEVENTO="Manual",IF($B17&lt;&gt;1,OFFSET(EVENTOS!$D$14,$B17,0),0),IF(B17&lt;=MAX(CÁLCULO!$M$15:$M$165),VLOOKUP($B17,CÁLCULO!$M$15:$N$165,2,FALSE),0))</f>
        <v xml:space="preserve">SERVIÇOS INICIAIS E LOCAÇÃO </v>
      </c>
      <c r="D17" s="649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IF(AUTOEVENTO="Manual",IF(OFFSET(EVENTOS!$F$14,PLE!$B18,0)&gt;0,"F",""),IF(PLE!B18&lt;=MAX(CÁLCULO!$M$15:$M$165),"F",""))</f>
        <v>F</v>
      </c>
      <c r="B18" s="287">
        <f t="shared" ca="1" si="1"/>
        <v>4</v>
      </c>
      <c r="C18" s="649" t="str">
        <f ca="1">IF(AUTOEVENTO="Manual",IF($B18&lt;&gt;1,OFFSET(EVENTOS!$D$14,$B18,0),0),IF(B18&lt;=MAX(CÁLCULO!$M$15:$M$165),VLOOKUP($B18,CÁLCULO!$M$15:$N$165,2,FALSE),0))</f>
        <v>SAPATA ISOLADA</v>
      </c>
      <c r="D18" s="649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IF(AUTOEVENTO="Manual",IF(OFFSET(EVENTOS!$F$14,PLE!$B19,0)&gt;0,"F",""),IF(PLE!B19&lt;=MAX(CÁLCULO!$M$15:$M$165),"F",""))</f>
        <v>F</v>
      </c>
      <c r="B19" s="287">
        <f t="shared" ca="1" si="1"/>
        <v>5</v>
      </c>
      <c r="C19" s="649" t="str">
        <f ca="1">IF(AUTOEVENTO="Manual",IF($B19&lt;&gt;1,OFFSET(EVENTOS!$D$14,$B19,0),0),IF(B19&lt;=MAX(CÁLCULO!$M$15:$M$165),VLOOKUP($B19,CÁLCULO!$M$15:$N$165,2,FALSE),0))</f>
        <v>VIGA BALDRAME</v>
      </c>
      <c r="D19" s="649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IF(AUTOEVENTO="Manual",IF(OFFSET(EVENTOS!$F$14,PLE!$B20,0)&gt;0,"F",""),IF(PLE!B20&lt;=MAX(CÁLCULO!$M$15:$M$165),"F",""))</f>
        <v>F</v>
      </c>
      <c r="B20" s="287">
        <f t="shared" ca="1" si="1"/>
        <v>6</v>
      </c>
      <c r="C20" s="649" t="str">
        <f ca="1">IF(AUTOEVENTO="Manual",IF($B20&lt;&gt;1,OFFSET(EVENTOS!$D$14,$B20,0),0),IF(B20&lt;=MAX(CÁLCULO!$M$15:$M$165),VLOOKUP($B20,CÁLCULO!$M$15:$N$165,2,FALSE),0))</f>
        <v xml:space="preserve">PILARES </v>
      </c>
      <c r="D20" s="649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IF(AUTOEVENTO="Manual",IF(OFFSET(EVENTOS!$F$14,PLE!$B21,0)&gt;0,"F",""),IF(PLE!B21&lt;=MAX(CÁLCULO!$M$15:$M$165),"F",""))</f>
        <v>F</v>
      </c>
      <c r="B21" s="287">
        <f t="shared" ca="1" si="1"/>
        <v>7</v>
      </c>
      <c r="C21" s="649" t="str">
        <f ca="1">IF(AUTOEVENTO="Manual",IF($B21&lt;&gt;1,OFFSET(EVENTOS!$D$14,$B21,0),0),IF(B21&lt;=MAX(CÁLCULO!$M$15:$M$165),VLOOKUP($B21,CÁLCULO!$M$15:$N$165,2,FALSE),0))</f>
        <v>VIGA CINTA</v>
      </c>
      <c r="D21" s="649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IF(AUTOEVENTO="Manual",IF(OFFSET(EVENTOS!$F$14,PLE!$B22,0)&gt;0,"F",""),IF(PLE!B22&lt;=MAX(CÁLCULO!$M$15:$M$165),"F",""))</f>
        <v>F</v>
      </c>
      <c r="B22" s="287">
        <f t="shared" ca="1" si="1"/>
        <v>8</v>
      </c>
      <c r="C22" s="649" t="str">
        <f ca="1">IF(AUTOEVENTO="Manual",IF($B22&lt;&gt;1,OFFSET(EVENTOS!$D$14,$B22,0),0),IF(B22&lt;=MAX(CÁLCULO!$M$15:$M$165),VLOOKUP($B22,CÁLCULO!$M$15:$N$165,2,FALSE),0))</f>
        <v>ALVENARIA</v>
      </c>
      <c r="D22" s="649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IF(AUTOEVENTO="Manual",IF(OFFSET(EVENTOS!$F$14,PLE!$B23,0)&gt;0,"F",""),IF(PLE!B23&lt;=MAX(CÁLCULO!$M$15:$M$165),"F",""))</f>
        <v>F</v>
      </c>
      <c r="B23" s="287">
        <f t="shared" ca="1" si="1"/>
        <v>9</v>
      </c>
      <c r="C23" s="649" t="str">
        <f ca="1">IF(AUTOEVENTO="Manual",IF($B23&lt;&gt;1,OFFSET(EVENTOS!$D$14,$B23,0),0),IF(B23&lt;=MAX(CÁLCULO!$M$15:$M$165),VLOOKUP($B23,CÁLCULO!$M$15:$N$165,2,FALSE),0))</f>
        <v>REVESTIMENTOS</v>
      </c>
      <c r="D23" s="649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IF(AUTOEVENTO="Manual",IF(OFFSET(EVENTOS!$F$14,PLE!$B24,0)&gt;0,"F",""),IF(PLE!B24&lt;=MAX(CÁLCULO!$M$15:$M$165),"F",""))</f>
        <v>F</v>
      </c>
      <c r="B24" s="287">
        <f t="shared" ca="1" si="1"/>
        <v>10</v>
      </c>
      <c r="C24" s="649" t="str">
        <f ca="1">IF(AUTOEVENTO="Manual",IF($B24&lt;&gt;1,OFFSET(EVENTOS!$D$14,$B24,0),0),IF(B24&lt;=MAX(CÁLCULO!$M$15:$M$165),VLOOKUP($B24,CÁLCULO!$M$15:$N$165,2,FALSE),0))</f>
        <v xml:space="preserve">ESQUADRIAS </v>
      </c>
      <c r="D24" s="649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IF(AUTOEVENTO="Manual",IF(OFFSET(EVENTOS!$F$14,PLE!$B25,0)&gt;0,"F",""),IF(PLE!B25&lt;=MAX(CÁLCULO!$M$15:$M$165),"F",""))</f>
        <v>F</v>
      </c>
      <c r="B25" s="287">
        <f t="shared" ca="1" si="1"/>
        <v>11</v>
      </c>
      <c r="C25" s="649" t="str">
        <f ca="1">IF(AUTOEVENTO="Manual",IF($B25&lt;&gt;1,OFFSET(EVENTOS!$D$14,$B25,0),0),IF(B25&lt;=MAX(CÁLCULO!$M$15:$M$165),VLOOKUP($B25,CÁLCULO!$M$15:$N$165,2,FALSE),0))</f>
        <v>GRADIL METÁLICO</v>
      </c>
      <c r="D25" s="649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IF(AUTOEVENTO="Manual",IF(OFFSET(EVENTOS!$F$14,PLE!$B26,0)&gt;0,"F",""),IF(PLE!B26&lt;=MAX(CÁLCULO!$M$15:$M$165),"F",""))</f>
        <v>F</v>
      </c>
      <c r="B26" s="287">
        <f t="shared" ca="1" si="1"/>
        <v>12</v>
      </c>
      <c r="C26" s="649" t="str">
        <f ca="1">IF(AUTOEVENTO="Manual",IF($B26&lt;&gt;1,OFFSET(EVENTOS!$D$14,$B26,0),0),IF(B26&lt;=MAX(CÁLCULO!$M$15:$M$165),VLOOKUP($B26,CÁLCULO!$M$15:$N$165,2,FALSE),0))</f>
        <v xml:space="preserve">COBERTURA </v>
      </c>
      <c r="D26" s="649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IF(AUTOEVENTO="Manual",IF(OFFSET(EVENTOS!$F$14,PLE!$B27,0)&gt;0,"F",""),IF(PLE!B27&lt;=MAX(CÁLCULO!$M$15:$M$165),"F",""))</f>
        <v>F</v>
      </c>
      <c r="B27" s="287">
        <f t="shared" ca="1" si="1"/>
        <v>13</v>
      </c>
      <c r="C27" s="649" t="str">
        <f ca="1">IF(AUTOEVENTO="Manual",IF($B27&lt;&gt;1,OFFSET(EVENTOS!$D$14,$B27,0),0),IF(B27&lt;=MAX(CÁLCULO!$M$15:$M$165),VLOOKUP($B27,CÁLCULO!$M$15:$N$165,2,FALSE),0))</f>
        <v xml:space="preserve">FORRO </v>
      </c>
      <c r="D27" s="649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IF(AUTOEVENTO="Manual",IF(OFFSET(EVENTOS!$F$14,PLE!$B28,0)&gt;0,"F",""),IF(PLE!B28&lt;=MAX(CÁLCULO!$M$15:$M$165),"F",""))</f>
        <v>F</v>
      </c>
      <c r="B28" s="287">
        <f t="shared" ca="1" si="1"/>
        <v>14</v>
      </c>
      <c r="C28" s="649" t="str">
        <f ca="1">IF(AUTOEVENTO="Manual",IF($B28&lt;&gt;1,OFFSET(EVENTOS!$D$14,$B28,0),0),IF(B28&lt;=MAX(CÁLCULO!$M$15:$M$165),VLOOKUP($B28,CÁLCULO!$M$15:$N$165,2,FALSE),0))</f>
        <v>RAMAL DE ENTRADA DE ENERGIA</v>
      </c>
      <c r="D28" s="649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IF(AUTOEVENTO="Manual",IF(OFFSET(EVENTOS!$F$14,PLE!$B29,0)&gt;0,"F",""),IF(PLE!B29&lt;=MAX(CÁLCULO!$M$15:$M$165),"F",""))</f>
        <v>F</v>
      </c>
      <c r="B29" s="287">
        <f t="shared" ca="1" si="1"/>
        <v>15</v>
      </c>
      <c r="C29" s="649" t="str">
        <f ca="1">IF(AUTOEVENTO="Manual",IF($B29&lt;&gt;1,OFFSET(EVENTOS!$D$14,$B29,0),0),IF(B29&lt;=MAX(CÁLCULO!$M$15:$M$165),VLOOKUP($B29,CÁLCULO!$M$15:$N$165,2,FALSE),0))</f>
        <v>INSTALAÇÕES ELÉTRICAS</v>
      </c>
      <c r="D29" s="649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IF(AUTOEVENTO="Manual",IF(OFFSET(EVENTOS!$F$14,PLE!$B30,0)&gt;0,"F",""),IF(PLE!B30&lt;=MAX(CÁLCULO!$M$15:$M$165),"F",""))</f>
        <v>F</v>
      </c>
      <c r="B30" s="287">
        <f t="shared" ca="1" si="1"/>
        <v>16</v>
      </c>
      <c r="C30" s="649" t="str">
        <f ca="1">IF(AUTOEVENTO="Manual",IF($B30&lt;&gt;1,OFFSET(EVENTOS!$D$14,$B30,0),0),IF(B30&lt;=MAX(CÁLCULO!$M$15:$M$165),VLOOKUP($B30,CÁLCULO!$M$15:$N$165,2,FALSE),0))</f>
        <v xml:space="preserve">INSTALAÇÕES HIDROSSANITÁRIAS </v>
      </c>
      <c r="D30" s="649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IF(AUTOEVENTO="Manual",IF(OFFSET(EVENTOS!$F$14,PLE!$B31,0)&gt;0,"F",""),IF(PLE!B31&lt;=MAX(CÁLCULO!$M$15:$M$165),"F",""))</f>
        <v>F</v>
      </c>
      <c r="B31" s="287">
        <f t="shared" ca="1" si="1"/>
        <v>17</v>
      </c>
      <c r="C31" s="649" t="str">
        <f ca="1">IF(AUTOEVENTO="Manual",IF($B31&lt;&gt;1,OFFSET(EVENTOS!$D$14,$B31,0),0),IF(B31&lt;=MAX(CÁLCULO!$M$15:$M$165),VLOOKUP($B31,CÁLCULO!$M$15:$N$165,2,FALSE),0))</f>
        <v>PISO</v>
      </c>
      <c r="D31" s="649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IF(AUTOEVENTO="Manual",IF(OFFSET(EVENTOS!$F$14,PLE!$B32,0)&gt;0,"F",""),IF(PLE!B32&lt;=MAX(CÁLCULO!$M$15:$M$165),"F",""))</f>
        <v>F</v>
      </c>
      <c r="B32" s="287">
        <f t="shared" ca="1" si="1"/>
        <v>18</v>
      </c>
      <c r="C32" s="649" t="str">
        <f ca="1">IF(AUTOEVENTO="Manual",IF($B32&lt;&gt;1,OFFSET(EVENTOS!$D$14,$B32,0),0),IF(B32&lt;=MAX(CÁLCULO!$M$15:$M$165),VLOOKUP($B32,CÁLCULO!$M$15:$N$165,2,FALSE),0))</f>
        <v xml:space="preserve">PINTURA </v>
      </c>
      <c r="D32" s="649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IF(AUTOEVENTO="Manual",IF(OFFSET(EVENTOS!$F$14,PLE!$B33,0)&gt;0,"F",""),IF(PLE!B33&lt;=MAX(CÁLCULO!$M$15:$M$165),"F",""))</f>
        <v>F</v>
      </c>
      <c r="B33" s="287">
        <f t="shared" ca="1" si="1"/>
        <v>19</v>
      </c>
      <c r="C33" s="649" t="str">
        <f ca="1">IF(AUTOEVENTO="Manual",IF($B33&lt;&gt;1,OFFSET(EVENTOS!$D$14,$B33,0),0),IF(B33&lt;=MAX(CÁLCULO!$M$15:$M$165),VLOOKUP($B33,CÁLCULO!$M$15:$N$165,2,FALSE),0))</f>
        <v>ACESSÓRIOS  E ACESSIBILIDADE</v>
      </c>
      <c r="D33" s="649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IF(AUTOEVENTO="Manual",IF(OFFSET(EVENTOS!$F$14,PLE!$B34,0)&gt;0,"F",""),IF(PLE!B34&lt;=MAX(CÁLCULO!$M$15:$M$165),"F",""))</f>
        <v>F</v>
      </c>
      <c r="B34" s="287">
        <f t="shared" ca="1" si="1"/>
        <v>20</v>
      </c>
      <c r="C34" s="649" t="str">
        <f ca="1">IF(AUTOEVENTO="Manual",IF($B34&lt;&gt;1,OFFSET(EVENTOS!$D$14,$B34,0),0),IF(B34&lt;=MAX(CÁLCULO!$M$15:$M$165),VLOOKUP($B34,CÁLCULO!$M$15:$N$165,2,FALSE),0))</f>
        <v xml:space="preserve">MARMORARIA </v>
      </c>
      <c r="D34" s="649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IF(AUTOEVENTO="Manual",IF(OFFSET(EVENTOS!$F$14,PLE!$B35,0)&gt;0,"F",""),IF(PLE!B35&lt;=MAX(CÁLCULO!$M$15:$M$165),"F",""))</f>
        <v>F</v>
      </c>
      <c r="B35" s="287">
        <f t="shared" ca="1" si="1"/>
        <v>21</v>
      </c>
      <c r="C35" s="649" t="str">
        <f ca="1">IF(AUTOEVENTO="Manual",IF($B35&lt;&gt;1,OFFSET(EVENTOS!$D$14,$B35,0),0),IF(B35&lt;=MAX(CÁLCULO!$M$15:$M$165),VLOOKUP($B35,CÁLCULO!$M$15:$N$165,2,FALSE),0))</f>
        <v>PREVENTIVO DE INCENDIO</v>
      </c>
      <c r="D35" s="649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IF(AUTOEVENTO="Manual",IF(OFFSET(EVENTOS!$F$14,PLE!$B36,0)&gt;0,"F",""),IF(PLE!B36&lt;=MAX(CÁLCULO!$M$15:$M$165),"F",""))</f>
        <v>F</v>
      </c>
      <c r="B36" s="287">
        <f t="shared" ca="1" si="1"/>
        <v>22</v>
      </c>
      <c r="C36" s="649" t="str">
        <f ca="1">IF(AUTOEVENTO="Manual",IF($B36&lt;&gt;1,OFFSET(EVENTOS!$D$14,$B36,0),0),IF(B36&lt;=MAX(CÁLCULO!$M$15:$M$165),VLOOKUP($B36,CÁLCULO!$M$15:$N$165,2,FALSE),0))</f>
        <v xml:space="preserve">ALAMBRADO </v>
      </c>
      <c r="D36" s="649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IF(AUTOEVENTO="Manual",IF(OFFSET(EVENTOS!$F$14,PLE!$B37,0)&gt;0,"F",""),IF(PLE!B37&lt;=MAX(CÁLCULO!$M$15:$M$165),"F",""))</f>
        <v>F</v>
      </c>
      <c r="B37" s="287">
        <f t="shared" ca="1" si="1"/>
        <v>23</v>
      </c>
      <c r="C37" s="649" t="str">
        <f ca="1">IF(AUTOEVENTO="Manual",IF($B37&lt;&gt;1,OFFSET(EVENTOS!$D$14,$B37,0),0),IF(B37&lt;=MAX(CÁLCULO!$M$15:$M$165),VLOOKUP($B37,CÁLCULO!$M$15:$N$165,2,FALSE),0))</f>
        <v>ILUMINAÇÃO</v>
      </c>
      <c r="D37" s="649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ht="4.5" customHeight="1" x14ac:dyDescent="0.2">
      <c r="A38" s="7" t="s">
        <v>246</v>
      </c>
      <c r="B38" s="484"/>
      <c r="C38" s="485"/>
      <c r="D38" s="486"/>
      <c r="F38" s="138"/>
      <c r="H38" s="484"/>
      <c r="I38" s="485"/>
      <c r="J38" s="485"/>
      <c r="K38" s="485"/>
      <c r="L38" s="485"/>
      <c r="M38" s="485"/>
      <c r="N38" s="485"/>
      <c r="O38" s="485"/>
      <c r="P38" s="485"/>
      <c r="Q38" s="485"/>
      <c r="R38" s="485"/>
      <c r="S38" s="485"/>
      <c r="T38" s="485"/>
      <c r="U38" s="485"/>
      <c r="V38" s="485"/>
      <c r="W38" s="485"/>
      <c r="X38" s="485"/>
      <c r="Y38" s="485"/>
      <c r="Z38" s="485"/>
      <c r="AA38" s="485"/>
      <c r="AB38" s="485"/>
      <c r="AC38" s="485"/>
      <c r="AD38" s="485"/>
      <c r="AE38" s="485"/>
      <c r="AF38" s="486"/>
    </row>
    <row r="39" spans="1:32" x14ac:dyDescent="0.2">
      <c r="A39" s="7" t="s">
        <v>246</v>
      </c>
    </row>
    <row r="40" spans="1:32" x14ac:dyDescent="0.2">
      <c r="A40" s="7" t="s">
        <v>246</v>
      </c>
      <c r="I40" s="660" t="s">
        <v>298</v>
      </c>
      <c r="J40" s="660"/>
      <c r="K40" s="660"/>
      <c r="L40" s="660"/>
      <c r="M40" s="660"/>
      <c r="N40" s="660"/>
      <c r="O40" s="660"/>
      <c r="P40" s="660"/>
      <c r="Q40" s="660"/>
      <c r="R40" s="660"/>
      <c r="S40" s="660"/>
      <c r="T40" s="660"/>
      <c r="U40" s="660"/>
      <c r="V40" s="660"/>
      <c r="W40" s="660"/>
      <c r="X40" s="660"/>
      <c r="Y40" s="660"/>
      <c r="Z40" s="660"/>
      <c r="AA40" s="660"/>
      <c r="AB40" s="660"/>
      <c r="AC40" s="660"/>
      <c r="AD40" s="660"/>
      <c r="AE40" s="660"/>
      <c r="AF40" s="660"/>
    </row>
    <row r="41" spans="1:32" x14ac:dyDescent="0.2">
      <c r="A41" s="7" t="s">
        <v>246</v>
      </c>
      <c r="I41" s="647"/>
      <c r="J41" s="648"/>
      <c r="K41" s="648"/>
      <c r="L41" s="648"/>
      <c r="M41" s="648"/>
      <c r="N41" s="648"/>
      <c r="O41" s="648"/>
      <c r="P41" s="648"/>
      <c r="Q41" s="648"/>
      <c r="R41" s="648"/>
      <c r="S41" s="648"/>
      <c r="T41" s="648"/>
      <c r="U41" s="648"/>
      <c r="V41" s="648"/>
      <c r="W41" s="648"/>
      <c r="X41" s="648"/>
      <c r="Y41" s="648"/>
      <c r="Z41" s="648"/>
      <c r="AA41" s="648"/>
      <c r="AB41" s="648"/>
      <c r="AC41" s="648"/>
      <c r="AD41" s="648"/>
      <c r="AE41" s="648"/>
      <c r="AF41" s="659"/>
    </row>
    <row r="42" spans="1:32" x14ac:dyDescent="0.2">
      <c r="A42" s="7" t="s">
        <v>246</v>
      </c>
      <c r="D42" s="310" t="s">
        <v>299</v>
      </c>
      <c r="I42" s="645">
        <f>IF(PLE.Medicao&lt;=12,1,TRUNC((PLE.Medicao - 2)/11,0) * 11 + 1)</f>
        <v>1</v>
      </c>
      <c r="J42" s="645"/>
      <c r="K42" s="645">
        <f>I42+1</f>
        <v>2</v>
      </c>
      <c r="L42" s="645"/>
      <c r="M42" s="645">
        <f>K42+1</f>
        <v>3</v>
      </c>
      <c r="N42" s="645"/>
      <c r="O42" s="645">
        <f>M42+1</f>
        <v>4</v>
      </c>
      <c r="P42" s="645"/>
      <c r="Q42" s="645">
        <f>O42+1</f>
        <v>5</v>
      </c>
      <c r="R42" s="645"/>
      <c r="S42" s="645">
        <f>Q42+1</f>
        <v>6</v>
      </c>
      <c r="T42" s="645"/>
      <c r="U42" s="645">
        <f>S42+1</f>
        <v>7</v>
      </c>
      <c r="V42" s="645"/>
      <c r="W42" s="645">
        <f>U42+1</f>
        <v>8</v>
      </c>
      <c r="X42" s="645"/>
      <c r="Y42" s="645">
        <f>W42+1</f>
        <v>9</v>
      </c>
      <c r="Z42" s="645"/>
      <c r="AA42" s="645">
        <f>Y42+1</f>
        <v>10</v>
      </c>
      <c r="AB42" s="645"/>
      <c r="AC42" s="645">
        <f>AA42+1</f>
        <v>11</v>
      </c>
      <c r="AD42" s="645"/>
      <c r="AE42" s="645">
        <f>AC42+1</f>
        <v>12</v>
      </c>
      <c r="AF42" s="645"/>
    </row>
    <row r="43" spans="1:32" x14ac:dyDescent="0.2">
      <c r="A43" s="7" t="s">
        <v>246</v>
      </c>
      <c r="D43" s="650" t="s">
        <v>283</v>
      </c>
      <c r="H43" s="311" t="s">
        <v>300</v>
      </c>
      <c r="I43" s="646">
        <f ca="1">ROUND(I44,2)/ORÇAMENTO!$X$15</f>
        <v>0</v>
      </c>
      <c r="J43" s="646"/>
      <c r="K43" s="653">
        <f ca="1">ROUND(K44,2)/ORÇAMENTO!$X$15</f>
        <v>0</v>
      </c>
      <c r="L43" s="653"/>
      <c r="M43" s="654">
        <f ca="1">ROUND(M44,2)/ORÇAMENTO!$X$15</f>
        <v>0</v>
      </c>
      <c r="N43" s="654"/>
      <c r="O43" s="653">
        <f ca="1">ROUND(O44,2)/ORÇAMENTO!$X$15</f>
        <v>0</v>
      </c>
      <c r="P43" s="653"/>
      <c r="Q43" s="654">
        <f ca="1">ROUND(Q44,2)/ORÇAMENTO!$X$15</f>
        <v>0</v>
      </c>
      <c r="R43" s="654"/>
      <c r="S43" s="653">
        <f ca="1">ROUND(S44,2)/ORÇAMENTO!$X$15</f>
        <v>0</v>
      </c>
      <c r="T43" s="653"/>
      <c r="U43" s="654">
        <f ca="1">ROUND(U44,2)/ORÇAMENTO!$X$15</f>
        <v>0</v>
      </c>
      <c r="V43" s="654"/>
      <c r="W43" s="653">
        <f ca="1">ROUND(W44,2)/ORÇAMENTO!$X$15</f>
        <v>0</v>
      </c>
      <c r="X43" s="653"/>
      <c r="Y43" s="654">
        <f ca="1">ROUND(Y44,2)/ORÇAMENTO!$X$15</f>
        <v>0</v>
      </c>
      <c r="Z43" s="654"/>
      <c r="AA43" s="653">
        <f ca="1">ROUND(AA44,2)/ORÇAMENTO!$X$15</f>
        <v>0</v>
      </c>
      <c r="AB43" s="653"/>
      <c r="AC43" s="654">
        <f ca="1">ROUND(AC44,2)/ORÇAMENTO!$X$15</f>
        <v>0</v>
      </c>
      <c r="AD43" s="654"/>
      <c r="AE43" s="653">
        <f ca="1">ROUND(AE44,2)/ORÇAMENTO!$X$15</f>
        <v>0</v>
      </c>
      <c r="AF43" s="653"/>
    </row>
    <row r="44" spans="1:32" x14ac:dyDescent="0.2">
      <c r="A44" s="7" t="s">
        <v>246</v>
      </c>
      <c r="D44" s="650"/>
      <c r="H44" s="12" t="s">
        <v>301</v>
      </c>
      <c r="I44" s="652">
        <f ca="1">IF(I42=1,I46,ROUND(I46,2)-ROUND(SUMIF(CÁLCULO!$AX$15:$BH$165,"&lt;="&amp;PLE!I42-1,CÁLCULO!$AB$15:$AL$165)*(1+CÁLCULO.TotalAdmLocal/(ORÇAMENTO!$X$15-CÁLCULO.TotalAdmLocal)),2))</f>
        <v>0</v>
      </c>
      <c r="J44" s="652"/>
      <c r="K44" s="652">
        <f ca="1">ROUND(K46,2)-ROUND(I46,2)</f>
        <v>0</v>
      </c>
      <c r="L44" s="652"/>
      <c r="M44" s="651">
        <f ca="1">ROUND(M46,2)-ROUND(K46,2)</f>
        <v>0</v>
      </c>
      <c r="N44" s="651"/>
      <c r="O44" s="652">
        <f ca="1">ROUND(O46,2)-ROUND(M46,2)</f>
        <v>0</v>
      </c>
      <c r="P44" s="652"/>
      <c r="Q44" s="651">
        <f ca="1">ROUND(Q46,2)-ROUND(O46,2)</f>
        <v>0</v>
      </c>
      <c r="R44" s="651"/>
      <c r="S44" s="652">
        <f ca="1">ROUND(S46,2)-ROUND(Q46,2)</f>
        <v>0</v>
      </c>
      <c r="T44" s="652"/>
      <c r="U44" s="651">
        <f ca="1">ROUND(U46,2)-ROUND(S46,2)</f>
        <v>0</v>
      </c>
      <c r="V44" s="651"/>
      <c r="W44" s="652">
        <f ca="1">ROUND(W46,2)-ROUND(U46,2)</f>
        <v>0</v>
      </c>
      <c r="X44" s="652"/>
      <c r="Y44" s="651">
        <f ca="1">ROUND(Y46,2)-ROUND(W46,2)</f>
        <v>0</v>
      </c>
      <c r="Z44" s="651"/>
      <c r="AA44" s="652">
        <f ca="1">ROUND(AA46,2)-ROUND(Y46,2)</f>
        <v>0</v>
      </c>
      <c r="AB44" s="652"/>
      <c r="AC44" s="651">
        <f ca="1">ROUND(AC46,2)-ROUND(AA46,2)</f>
        <v>0</v>
      </c>
      <c r="AD44" s="651"/>
      <c r="AE44" s="652">
        <f ca="1">ROUND(AE46,2)-ROUND(AC46,2)</f>
        <v>0</v>
      </c>
      <c r="AF44" s="652"/>
    </row>
    <row r="45" spans="1:32" x14ac:dyDescent="0.2">
      <c r="A45" s="7" t="s">
        <v>246</v>
      </c>
      <c r="D45" s="650" t="s">
        <v>287</v>
      </c>
      <c r="H45" s="311" t="s">
        <v>300</v>
      </c>
      <c r="I45" s="657">
        <f ca="1">ROUND(I46,2)/ORÇAMENTO!$X$15</f>
        <v>0</v>
      </c>
      <c r="J45" s="657"/>
      <c r="K45" s="655">
        <f ca="1">ROUND(K46,2)/ORÇAMENTO!$X$15</f>
        <v>0</v>
      </c>
      <c r="L45" s="655"/>
      <c r="M45" s="656">
        <f ca="1">ROUND(M46,2)/ORÇAMENTO!$X$15</f>
        <v>0</v>
      </c>
      <c r="N45" s="656"/>
      <c r="O45" s="655">
        <f ca="1">ROUND(O46,2)/ORÇAMENTO!$X$15</f>
        <v>0</v>
      </c>
      <c r="P45" s="655"/>
      <c r="Q45" s="656">
        <f ca="1">ROUND(Q46,2)/ORÇAMENTO!$X$15</f>
        <v>0</v>
      </c>
      <c r="R45" s="656"/>
      <c r="S45" s="655">
        <f ca="1">ROUND(S46,2)/ORÇAMENTO!$X$15</f>
        <v>0</v>
      </c>
      <c r="T45" s="655"/>
      <c r="U45" s="656">
        <f ca="1">ROUND(U46,2)/ORÇAMENTO!$X$15</f>
        <v>0</v>
      </c>
      <c r="V45" s="656"/>
      <c r="W45" s="655">
        <f ca="1">ROUND(W46,2)/ORÇAMENTO!$X$15</f>
        <v>0</v>
      </c>
      <c r="X45" s="655"/>
      <c r="Y45" s="656">
        <f ca="1">ROUND(Y46,2)/ORÇAMENTO!$X$15</f>
        <v>0</v>
      </c>
      <c r="Z45" s="656"/>
      <c r="AA45" s="655">
        <f ca="1">ROUND(AA46,2)/ORÇAMENTO!$X$15</f>
        <v>0</v>
      </c>
      <c r="AB45" s="655"/>
      <c r="AC45" s="656">
        <f ca="1">ROUND(AC46,2)/ORÇAMENTO!$X$15</f>
        <v>0</v>
      </c>
      <c r="AD45" s="656"/>
      <c r="AE45" s="655">
        <f ca="1">ROUND(AE46,2)/ORÇAMENTO!$X$15</f>
        <v>0</v>
      </c>
      <c r="AF45" s="655"/>
    </row>
    <row r="46" spans="1:32" x14ac:dyDescent="0.2">
      <c r="A46" s="7" t="s">
        <v>246</v>
      </c>
      <c r="D46" s="650"/>
      <c r="H46" s="12" t="s">
        <v>301</v>
      </c>
      <c r="I46" s="658">
        <f ca="1">SUMIF(CÁLCULO!$AX$15:$BH$165,"&lt;="&amp;PLE!I42,CÁLCULO!$AB$15:$AL$165)*(1+CÁLCULO.TotalAdmLocal/(ORÇAMENTO!$X$15-CÁLCULO.TotalAdmLocal))</f>
        <v>0</v>
      </c>
      <c r="J46" s="658"/>
      <c r="K46" s="652">
        <f ca="1">SUMIF(CÁLCULO!$AX$15:$BH$165,"&lt;="&amp;PLE!K42,CÁLCULO!$AB$15:$AL$165)*(1+CÁLCULO.TotalAdmLocal/(ORÇAMENTO!$X$15-CÁLCULO.TotalAdmLocal))</f>
        <v>0</v>
      </c>
      <c r="L46" s="652"/>
      <c r="M46" s="651">
        <f ca="1">SUMIF(CÁLCULO!$AX$15:$BH$165,"&lt;="&amp;PLE!M42,CÁLCULO!$AB$15:$AL$165)*(1+CÁLCULO.TotalAdmLocal/(ORÇAMENTO!$X$15-CÁLCULO.TotalAdmLocal))</f>
        <v>0</v>
      </c>
      <c r="N46" s="651"/>
      <c r="O46" s="652">
        <f ca="1">SUMIF(CÁLCULO!$AX$15:$BH$165,"&lt;="&amp;PLE!O42,CÁLCULO!$AB$15:$AL$165)*(1+CÁLCULO.TotalAdmLocal/(ORÇAMENTO!$X$15-CÁLCULO.TotalAdmLocal))</f>
        <v>0</v>
      </c>
      <c r="P46" s="652"/>
      <c r="Q46" s="651">
        <f ca="1">SUMIF(CÁLCULO!$AX$15:$BH$165,"&lt;="&amp;PLE!Q42,CÁLCULO!$AB$15:$AL$165)*(1+CÁLCULO.TotalAdmLocal/(ORÇAMENTO!$X$15-CÁLCULO.TotalAdmLocal))</f>
        <v>0</v>
      </c>
      <c r="R46" s="651"/>
      <c r="S46" s="652">
        <f ca="1">SUMIF(CÁLCULO!$AX$15:$BH$165,"&lt;="&amp;PLE!S42,CÁLCULO!$AB$15:$AL$165)*(1+CÁLCULO.TotalAdmLocal/(ORÇAMENTO!$X$15-CÁLCULO.TotalAdmLocal))</f>
        <v>0</v>
      </c>
      <c r="T46" s="652"/>
      <c r="U46" s="651">
        <f ca="1">SUMIF(CÁLCULO!$AX$15:$BH$165,"&lt;="&amp;PLE!U42,CÁLCULO!$AB$15:$AL$165)*(1+CÁLCULO.TotalAdmLocal/(ORÇAMENTO!$X$15-CÁLCULO.TotalAdmLocal))</f>
        <v>0</v>
      </c>
      <c r="V46" s="651"/>
      <c r="W46" s="652">
        <f ca="1">SUMIF(CÁLCULO!$AX$15:$BH$165,"&lt;="&amp;PLE!W42,CÁLCULO!$AB$15:$AL$165)*(1+CÁLCULO.TotalAdmLocal/(ORÇAMENTO!$X$15-CÁLCULO.TotalAdmLocal))</f>
        <v>0</v>
      </c>
      <c r="X46" s="652"/>
      <c r="Y46" s="651">
        <f ca="1">SUMIF(CÁLCULO!$AX$15:$BH$165,"&lt;="&amp;PLE!Y42,CÁLCULO!$AB$15:$AL$165)*(1+CÁLCULO.TotalAdmLocal/(ORÇAMENTO!$X$15-CÁLCULO.TotalAdmLocal))</f>
        <v>0</v>
      </c>
      <c r="Z46" s="651"/>
      <c r="AA46" s="652">
        <f ca="1">SUMIF(CÁLCULO!$AX$15:$BH$165,"&lt;="&amp;PLE!AA42,CÁLCULO!$AB$15:$AL$165)*(1+CÁLCULO.TotalAdmLocal/(ORÇAMENTO!$X$15-CÁLCULO.TotalAdmLocal))</f>
        <v>0</v>
      </c>
      <c r="AB46" s="652"/>
      <c r="AC46" s="651">
        <f ca="1">SUMIF(CÁLCULO!$AX$15:$BH$165,"&lt;="&amp;PLE!AC42,CÁLCULO!$AB$15:$AL$165)*(1+CÁLCULO.TotalAdmLocal/(ORÇAMENTO!$X$15-CÁLCULO.TotalAdmLocal))</f>
        <v>0</v>
      </c>
      <c r="AD46" s="651"/>
      <c r="AE46" s="652">
        <f ca="1">SUMIF(CÁLCULO!$AX$15:$BH$165,"&lt;="&amp;PLE!AE42,CÁLCULO!$AB$15:$AL$165)*(1+CÁLCULO.TotalAdmLocal/(ORÇAMENTO!$X$15-CÁLCULO.TotalAdmLocal))</f>
        <v>0</v>
      </c>
      <c r="AF46" s="652"/>
    </row>
    <row r="47" spans="1:32" ht="20.25" customHeight="1" x14ac:dyDescent="0.2">
      <c r="A47" s="7" t="s">
        <v>246</v>
      </c>
    </row>
    <row r="48" spans="1:32" ht="15" x14ac:dyDescent="0.2">
      <c r="A48" s="7" t="s">
        <v>246</v>
      </c>
      <c r="B48" s="622" t="str">
        <f>Import.Município</f>
        <v xml:space="preserve">ÁGUAS DE CHAPECÓ </v>
      </c>
      <c r="C48" s="622"/>
      <c r="D48" s="622"/>
      <c r="U48" s="145"/>
      <c r="V48" s="145"/>
      <c r="W48" s="145"/>
      <c r="X48" s="145"/>
      <c r="Y48" s="194"/>
      <c r="Z48" s="194"/>
      <c r="AA48" s="194"/>
      <c r="AB48" s="194"/>
      <c r="AC48" s="194"/>
      <c r="AD48" s="194"/>
    </row>
    <row r="49" spans="1:23" x14ac:dyDescent="0.2">
      <c r="A49" s="7" t="s">
        <v>246</v>
      </c>
      <c r="B49" s="10" t="s">
        <v>188</v>
      </c>
      <c r="U49" s="195" t="s">
        <v>302</v>
      </c>
    </row>
    <row r="50" spans="1:23" x14ac:dyDescent="0.2">
      <c r="A50" s="7" t="s">
        <v>246</v>
      </c>
      <c r="I50" s="80"/>
      <c r="U50" s="78" t="s">
        <v>108</v>
      </c>
      <c r="W50" s="312" t="str">
        <f t="array" ref="W50:W53">Import.RespFiscalização</f>
        <v>RENATA LORENZET</v>
      </c>
    </row>
    <row r="51" spans="1:23" x14ac:dyDescent="0.2">
      <c r="A51" s="7" t="s">
        <v>246</v>
      </c>
      <c r="B51" s="617">
        <f ca="1">DADOS!$F$48</f>
        <v>46310</v>
      </c>
      <c r="C51" s="617"/>
      <c r="D51" s="617"/>
      <c r="I51" s="80"/>
      <c r="U51" s="78" t="s">
        <v>127</v>
      </c>
      <c r="W51" s="312" t="str">
        <v>ENGENHEIRA CIVIL</v>
      </c>
    </row>
    <row r="52" spans="1:23" x14ac:dyDescent="0.2">
      <c r="A52" s="7" t="s">
        <v>246</v>
      </c>
      <c r="B52" s="146" t="s">
        <v>189</v>
      </c>
      <c r="C52" s="1"/>
      <c r="D52" s="1"/>
      <c r="I52" s="80"/>
      <c r="U52" s="78" t="s">
        <v>109</v>
      </c>
      <c r="W52" s="312" t="str">
        <v>207.601-3</v>
      </c>
    </row>
    <row r="53" spans="1:23" x14ac:dyDescent="0.2">
      <c r="U53" s="78" t="s">
        <v>110</v>
      </c>
      <c r="W53" s="13">
        <v>0</v>
      </c>
    </row>
  </sheetData>
  <sheetProtection algorithmName="SHA-512" hashValue="C4NM/mtnBbUh9+bI9TXvkkTsUJ1KSWzalQayGlDtbYRZ1ktEVu9UFu3dTGxkDo2fk5GNYkuo4MMdr9ygL5dvTA==" saltValue="lqlRiIhsdFuu+OKS/fLbzw==" spinCount="100000" sheet="1" objects="1" scenarios="1" autoFilter="0"/>
  <autoFilter ref="A13:A52" xr:uid="{00000000-0009-0000-0000-000009000000}"/>
  <mergeCells count="116"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4:D24"/>
    <mergeCell ref="C34:D34"/>
    <mergeCell ref="I40:AF40"/>
    <mergeCell ref="B12:B13"/>
    <mergeCell ref="O41:P41"/>
    <mergeCell ref="C15:D15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25:D25"/>
    <mergeCell ref="C26:D26"/>
    <mergeCell ref="C27:D27"/>
    <mergeCell ref="C28:D28"/>
    <mergeCell ref="C29:D29"/>
    <mergeCell ref="C35:D35"/>
    <mergeCell ref="AC43:AD43"/>
    <mergeCell ref="AE43:AF43"/>
    <mergeCell ref="AA41:AB41"/>
    <mergeCell ref="Y41:Z41"/>
    <mergeCell ref="AE42:AF42"/>
    <mergeCell ref="AC42:AD42"/>
    <mergeCell ref="AA42:AB42"/>
    <mergeCell ref="U42:V42"/>
    <mergeCell ref="Q42:R42"/>
    <mergeCell ref="S42:T42"/>
    <mergeCell ref="U41:V41"/>
    <mergeCell ref="AE41:AF41"/>
    <mergeCell ref="AC41:AD41"/>
    <mergeCell ref="W41:X41"/>
    <mergeCell ref="Y42:Z42"/>
    <mergeCell ref="Q41:R41"/>
    <mergeCell ref="S41:T41"/>
    <mergeCell ref="K46:L46"/>
    <mergeCell ref="K45:L45"/>
    <mergeCell ref="I45:J45"/>
    <mergeCell ref="K44:L44"/>
    <mergeCell ref="I44:J44"/>
    <mergeCell ref="O46:P46"/>
    <mergeCell ref="S45:T45"/>
    <mergeCell ref="B51:D51"/>
    <mergeCell ref="B48:D48"/>
    <mergeCell ref="D45:D46"/>
    <mergeCell ref="M45:N45"/>
    <mergeCell ref="M46:N46"/>
    <mergeCell ref="I46:J46"/>
    <mergeCell ref="O45:P45"/>
    <mergeCell ref="AE44:AF44"/>
    <mergeCell ref="AE46:AF46"/>
    <mergeCell ref="Q46:R46"/>
    <mergeCell ref="Y46:Z46"/>
    <mergeCell ref="AA46:AB46"/>
    <mergeCell ref="O44:P44"/>
    <mergeCell ref="Q44:R44"/>
    <mergeCell ref="AE45:AF45"/>
    <mergeCell ref="Q45:R45"/>
    <mergeCell ref="W44:X44"/>
    <mergeCell ref="S46:T46"/>
    <mergeCell ref="Y44:Z44"/>
    <mergeCell ref="U44:V44"/>
    <mergeCell ref="W46:X46"/>
    <mergeCell ref="W45:X45"/>
    <mergeCell ref="U45:V45"/>
    <mergeCell ref="Y45:Z45"/>
    <mergeCell ref="U46:V46"/>
    <mergeCell ref="AC46:AD46"/>
    <mergeCell ref="AC44:AD44"/>
    <mergeCell ref="AC45:AD45"/>
    <mergeCell ref="AA45:AB45"/>
    <mergeCell ref="M42:N42"/>
    <mergeCell ref="O42:P42"/>
    <mergeCell ref="W42:X42"/>
    <mergeCell ref="M44:N44"/>
    <mergeCell ref="AA44:AB44"/>
    <mergeCell ref="S44:T44"/>
    <mergeCell ref="O43:P43"/>
    <mergeCell ref="K41:L41"/>
    <mergeCell ref="K43:L43"/>
    <mergeCell ref="AA43:AB43"/>
    <mergeCell ref="M43:N43"/>
    <mergeCell ref="Y43:Z43"/>
    <mergeCell ref="W43:X43"/>
    <mergeCell ref="U43:V43"/>
    <mergeCell ref="Q43:R43"/>
    <mergeCell ref="S43:T43"/>
    <mergeCell ref="M41:N41"/>
    <mergeCell ref="I42:J42"/>
    <mergeCell ref="I43:J43"/>
    <mergeCell ref="I41:J41"/>
    <mergeCell ref="C31:D31"/>
    <mergeCell ref="C32:D32"/>
    <mergeCell ref="C30:D30"/>
    <mergeCell ref="C33:D33"/>
    <mergeCell ref="D43:D44"/>
    <mergeCell ref="K42:L42"/>
  </mergeCells>
  <phoneticPr fontId="38" type="noConversion"/>
  <conditionalFormatting sqref="F1:F2">
    <cfRule type="expression" dxfId="107" priority="439" stopIfTrue="1">
      <formula>IF(OR(ACOMPANHAMENTO="BM",F$12&gt;CÁLCULO.NúmeroDeFrentes),TRUE,PLE.ValorDoEvento=0)</formula>
    </cfRule>
    <cfRule type="cellIs" dxfId="106" priority="440" stopIfTrue="1" operator="equal">
      <formula>$J$9</formula>
    </cfRule>
  </conditionalFormatting>
  <conditionalFormatting sqref="I43:AF43">
    <cfRule type="expression" dxfId="105" priority="441" stopIfTrue="1">
      <formula>I42=$J$9</formula>
    </cfRule>
  </conditionalFormatting>
  <conditionalFormatting sqref="I44:AF44">
    <cfRule type="expression" dxfId="104" priority="442" stopIfTrue="1">
      <formula>I42=$J$9</formula>
    </cfRule>
  </conditionalFormatting>
  <conditionalFormatting sqref="I45:AF45">
    <cfRule type="expression" dxfId="103" priority="443" stopIfTrue="1">
      <formula>I42=$J$9</formula>
    </cfRule>
  </conditionalFormatting>
  <conditionalFormatting sqref="I46:AF46">
    <cfRule type="expression" dxfId="102" priority="444" stopIfTrue="1">
      <formula>I42=$J$9</formula>
    </cfRule>
  </conditionalFormatting>
  <conditionalFormatting sqref="I42:J42">
    <cfRule type="cellIs" dxfId="101" priority="438" stopIfTrue="1" operator="notEqual">
      <formula>1</formula>
    </cfRule>
  </conditionalFormatting>
  <conditionalFormatting sqref="H1:AF1">
    <cfRule type="expression" dxfId="100" priority="456" stopIfTrue="1">
      <formula>IF(OR(ACOMPANHAMENTO="BM",TIPOORCAMENTO="Proposto",H$12&gt;CÁLCULO.NúmeroDeFrentes),TRUE,PLE.ValorDoEvento=0)</formula>
    </cfRule>
    <cfRule type="cellIs" dxfId="99" priority="457" stopIfTrue="1" operator="equal">
      <formula>$J$9</formula>
    </cfRule>
  </conditionalFormatting>
  <conditionalFormatting sqref="AE6:AE7">
    <cfRule type="expression" dxfId="98" priority="445" stopIfTrue="1">
      <formula>TIPOORCAMENTO&lt;&gt;"Licitado"</formula>
    </cfRule>
  </conditionalFormatting>
  <conditionalFormatting sqref="N9:T9">
    <cfRule type="expression" dxfId="97" priority="446" stopIfTrue="1">
      <formula>COLUMN(N9)&gt;COLUMN($AF$12)</formula>
    </cfRule>
    <cfRule type="expression" dxfId="96" priority="447" stopIfTrue="1">
      <formula>$N$9="DIGITE A DATA DA MEDIÇÃO"</formula>
    </cfRule>
  </conditionalFormatting>
  <conditionalFormatting sqref="I9:M9 U9:AF9">
    <cfRule type="expression" dxfId="95" priority="448" stopIfTrue="1">
      <formula>COLUMN(I9)&gt;COLUMN($AF$12)</formula>
    </cfRule>
  </conditionalFormatting>
  <conditionalFormatting sqref="F16:F24">
    <cfRule type="expression" dxfId="94" priority="21" stopIfTrue="1">
      <formula>IF(OR(ACOMPANHAMENTO="BM",F$12&gt;CÁLCULO.NúmeroDeFrentes),TRUE,PLE.ValorDoEvento=0)</formula>
    </cfRule>
    <cfRule type="cellIs" dxfId="93" priority="22" stopIfTrue="1" operator="equal">
      <formula>$J$9</formula>
    </cfRule>
  </conditionalFormatting>
  <conditionalFormatting sqref="H16:AF24">
    <cfRule type="expression" dxfId="92" priority="23" stopIfTrue="1">
      <formula>IF(OR(ACOMPANHAMENTO="BM",TIPOORCAMENTO="Proposto",H$12&gt;CÁLCULO.NúmeroDeFrentes),TRUE,PLE.ValorDoEvento=0)</formula>
    </cfRule>
    <cfRule type="cellIs" dxfId="91" priority="24" stopIfTrue="1" operator="equal">
      <formula>$J$9</formula>
    </cfRule>
  </conditionalFormatting>
  <conditionalFormatting sqref="F25:F33">
    <cfRule type="expression" dxfId="90" priority="17" stopIfTrue="1">
      <formula>IF(OR(ACOMPANHAMENTO="BM",F$12&gt;CÁLCULO.NúmeroDeFrentes),TRUE,PLE.ValorDoEvento=0)</formula>
    </cfRule>
    <cfRule type="cellIs" dxfId="89" priority="18" stopIfTrue="1" operator="equal">
      <formula>$J$9</formula>
    </cfRule>
  </conditionalFormatting>
  <conditionalFormatting sqref="H25:AF33">
    <cfRule type="expression" dxfId="88" priority="19" stopIfTrue="1">
      <formula>IF(OR(ACOMPANHAMENTO="BM",TIPOORCAMENTO="Proposto",H$12&gt;CÁLCULO.NúmeroDeFrentes),TRUE,PLE.ValorDoEvento=0)</formula>
    </cfRule>
    <cfRule type="cellIs" dxfId="87" priority="20" stopIfTrue="1" operator="equal">
      <formula>$J$9</formula>
    </cfRule>
  </conditionalFormatting>
  <conditionalFormatting sqref="F34:F37">
    <cfRule type="expression" dxfId="86" priority="13" stopIfTrue="1">
      <formula>IF(OR(ACOMPANHAMENTO="BM",F$12&gt;CÁLCULO.NúmeroDeFrentes),TRUE,PLE.ValorDoEvento=0)</formula>
    </cfRule>
    <cfRule type="cellIs" dxfId="85" priority="14" stopIfTrue="1" operator="equal">
      <formula>$J$9</formula>
    </cfRule>
  </conditionalFormatting>
  <conditionalFormatting sqref="H34:AF37">
    <cfRule type="expression" dxfId="84" priority="15" stopIfTrue="1">
      <formula>IF(OR(ACOMPANHAMENTO="BM",TIPOORCAMENTO="Proposto",H$12&gt;CÁLCULO.NúmeroDeFrentes),TRUE,PLE.ValorDoEvento=0)</formula>
    </cfRule>
    <cfRule type="cellIs" dxfId="83" priority="16" stopIfTrue="1" operator="equal">
      <formula>$J$9</formula>
    </cfRule>
  </conditionalFormatting>
  <dataValidations count="3">
    <dataValidation type="whole" operator="greaterThan" allowBlank="1" showErrorMessage="1" sqref="F1:F4 I3:AC4 J9:K9 F16:F37" xr:uid="{00000000-0002-0000-0900-000000000000}">
      <formula1>0</formula1>
      <formula2>0</formula2>
    </dataValidation>
    <dataValidation allowBlank="1" showInputMessage="1" showErrorMessage="1" prompt="Digite a data de medição abaixo dos eventos." sqref="N9:T9" xr:uid="{00000000-0002-0000-09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37" xr:uid="{00000000-0002-0000-09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600" t="s">
        <v>146</v>
      </c>
      <c r="E3" s="600"/>
      <c r="F3" s="89" t="s">
        <v>443</v>
      </c>
      <c r="G3" s="600" t="s">
        <v>147</v>
      </c>
      <c r="H3" s="600"/>
      <c r="I3" s="600"/>
      <c r="J3" s="673" t="s">
        <v>306</v>
      </c>
      <c r="K3" s="673"/>
      <c r="L3" s="673"/>
      <c r="M3" s="674" t="s">
        <v>307</v>
      </c>
      <c r="N3" s="674"/>
      <c r="O3" s="674"/>
      <c r="Z3" s="104">
        <f ca="1">MAX(Z7:AB7)</f>
        <v>1</v>
      </c>
      <c r="AA3" s="314">
        <f ca="1">IF(OR($O$24=ORÇAMENTO.SumINVMANUAL+QCI.SumINVMANUAL,$O$24=0),0,MIN(MAX(0,($Z$3*$O$24-ORÇAMENTO.SumCPMANUAL-QCI.SumCPMANUAL)/($O$24-ORÇAMENTO.SumINVMANUAL-QCI.SumINVMANUAL)),1))</f>
        <v>1</v>
      </c>
      <c r="AB3" s="94"/>
    </row>
    <row r="4" spans="1:31" x14ac:dyDescent="0.2">
      <c r="D4" s="603">
        <f>Import.CR</f>
        <v>0</v>
      </c>
      <c r="E4" s="603"/>
      <c r="F4" s="57">
        <f>Import.TransfereGOV</f>
        <v>0</v>
      </c>
      <c r="G4" s="603" t="str">
        <f>Import.Proponente</f>
        <v>PREFEITURA MUNICIPAL DE ÁGUAS DE CHAPECÓ</v>
      </c>
      <c r="H4" s="603"/>
      <c r="I4" s="603"/>
      <c r="J4" s="675" t="str">
        <f>Import.Município</f>
        <v xml:space="preserve">ÁGUAS DE CHAPECÓ </v>
      </c>
      <c r="K4" s="675"/>
      <c r="L4" s="675"/>
      <c r="M4" s="674"/>
      <c r="N4" s="674"/>
      <c r="O4" s="674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600" t="s">
        <v>202</v>
      </c>
      <c r="E6" s="600"/>
      <c r="F6" s="600"/>
      <c r="G6" s="600"/>
      <c r="H6" s="600"/>
      <c r="I6" s="600"/>
      <c r="J6" s="600"/>
      <c r="K6" s="600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593" t="s">
        <v>209</v>
      </c>
      <c r="D7" s="603" t="str">
        <f>Import.Apelido</f>
        <v>SEDE ESPORTIVA, ILUMINAÇÃO E ALAMBRADO DO CAMPO</v>
      </c>
      <c r="E7" s="603"/>
      <c r="F7" s="603"/>
      <c r="G7" s="603"/>
      <c r="H7" s="603"/>
      <c r="I7" s="603"/>
      <c r="J7" s="603"/>
      <c r="K7" s="603"/>
      <c r="L7" s="316" t="str">
        <f>import.recurso</f>
        <v>(SELECIONAR)</v>
      </c>
      <c r="M7" s="317">
        <f>Import.Repasse</f>
        <v>0</v>
      </c>
      <c r="N7" s="317">
        <f>Import.Contrapartida</f>
        <v>0</v>
      </c>
      <c r="O7" s="317">
        <f>M7+N7</f>
        <v>0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1</v>
      </c>
    </row>
    <row r="8" spans="1:31" x14ac:dyDescent="0.2">
      <c r="C8" s="593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593"/>
      <c r="G9" s="67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$165,-1,0)),2),"","ERRO: CONTRAPARTIDA MAIOR QUE A MÁXIMA","ERRO: CONTRAPARTIDA MENOR QUE A MÍNIMA","ERRO: SALDO NEGATIVO","ERRO: VALORES DE REPASSE NEGATIVOS","ERRO: NÚMERO DE LINHAS DO QCI INSUFICIENTE. CLIQUE NO BOTÃO ADICIONAR LINHAS")</f>
        <v>ERRO: SALDO NEGATIVO</v>
      </c>
      <c r="H9" s="671"/>
      <c r="I9" s="671"/>
      <c r="J9" s="671"/>
      <c r="K9" s="672" t="s">
        <v>313</v>
      </c>
      <c r="L9" s="319" t="str">
        <f>$L$13</f>
        <v>Repasse (R$)</v>
      </c>
      <c r="M9" s="319" t="s">
        <v>238</v>
      </c>
      <c r="AD9" s="669"/>
      <c r="AE9" s="669"/>
    </row>
    <row r="10" spans="1:31" ht="12.75" customHeight="1" x14ac:dyDescent="0.2">
      <c r="A10" s="668" t="s">
        <v>314</v>
      </c>
      <c r="C10" s="593"/>
      <c r="G10" s="671"/>
      <c r="H10" s="671"/>
      <c r="I10" s="671"/>
      <c r="J10" s="671"/>
      <c r="K10" s="672"/>
      <c r="L10" s="320">
        <f ca="1">Import.Repasse-L24</f>
        <v>0</v>
      </c>
      <c r="M10" s="321">
        <f ca="1">Import.Contrapartida-M24</f>
        <v>-399069.38999999996</v>
      </c>
      <c r="Z10" s="613" t="s">
        <v>216</v>
      </c>
      <c r="AA10" s="613"/>
      <c r="AB10" s="613"/>
      <c r="AD10" s="669" t="s">
        <v>315</v>
      </c>
      <c r="AE10" s="669"/>
    </row>
    <row r="11" spans="1:31" ht="20.100000000000001" customHeight="1" x14ac:dyDescent="0.2">
      <c r="A11" s="668"/>
      <c r="C11" s="593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IF(NOT(ISBLANK(QCI.DescManual)),IF(QCI.Divisao="Calculado","Manual","SemiAuto"),IF(ISERROR(MATCH($A12,ORÇAMENTO!$E$15:$E$165,0)),"Branco","Automático"))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IF(OR($B12="Manual",$B12="SemiAuto"),QCI.DescManual,IF($B12="Automático",INDEX(ORÇAMENTO!$R$15:$R$165,MATCH($A12,ORÇAMENTO!$E$15:$E$165,0)),""))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IF($B12="Branco",0,IF(OR($B12="Manual",$B12="SemiAuto"),QCI.InvManual,INDEX(ORÇAMENTO!X$15:X$165,MATCH($A12,ORÇAMENTO!$E$15:$E$165,0))))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IF($B12="Branco",0,IF($B12="Manual",QCI.CPManual,IF($B12="SemiAuto",ROUND(QCI!$AA$3*QCI.InvManual,2),INDEX(ORÇAMENTO!$AA$15:$AA$165,MATCH($A12,ORÇAMENTO!$E$15:$E$165,0)))))</f>
        <v>0</v>
      </c>
      <c r="AB12">
        <f ca="1">IF($B12="Branco",0,IF($B12="Manual",QCI.OutrosManual,IF($B12="SemiAuto",0,INDEX(ORÇAMENTO!$AB$15:$AB$165,MATCH($A12,ORÇAMENTO!$E$15:$E$165,0)))))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IF(NOT(ISBLANK(QCI.DescManual)),IF(QCI.Divisao="Calculado","Manual","SemiAuto"),IF(ISERROR(MATCH($A14,ORÇAMENTO!$E$15:$E$165,0)),"Branco","Automático"))</f>
        <v>Automático</v>
      </c>
      <c r="C14" t="str">
        <f t="shared" ref="C14:C22" ca="1" si="1">IF(O14&gt;0,"F","")</f>
        <v>F</v>
      </c>
      <c r="D14" s="322">
        <f t="shared" ref="D14:D22" si="2">ROW()-ROW($D$13)</f>
        <v>1</v>
      </c>
      <c r="E14" s="120"/>
      <c r="F14" s="120"/>
      <c r="G14" s="172" t="str">
        <f ca="1">IF(OR($B14="Manual",$B14="SemiAuto"),QCI.DescManual,IF($B14="Automático",INDEX(ORÇAMENTO!$R$15:$R$165,MATCH($A14,ORÇAMENTO!$E$15:$E$165,0)),""))</f>
        <v>SERVIÇOS PRELIMINARES</v>
      </c>
      <c r="H14" s="120"/>
      <c r="I14" s="557"/>
      <c r="J14" s="323" t="str">
        <f ca="1">IF(AND(ISBLANK(E14),ISBLANK(F14)),"",VLOOKUP($F14,OFFSET(DADOS!$A$2,1,MATCH(QCI!$E14,DADOS!$2:$2,0)-1,100,50),2,FALSE))</f>
        <v/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13584.25</v>
      </c>
      <c r="N14" s="326">
        <f t="shared" ref="N14:N22" ca="1" si="5">ROUND($AB14,2)</f>
        <v>0</v>
      </c>
      <c r="O14" s="327">
        <f ca="1">IF($B14="Branco",0,IF(OR($B14="Manual",$B14="SemiAuto"),QCI.InvManual,INDEX(ORÇAMENTO!X$15:X$165,MATCH($A14,ORÇAMENTO!$E$15:$E$165,0))))</f>
        <v>13584.25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13584.25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IF($B14="Branco",0,IF($B14="Manual",QCI.CPManual,IF($B14="SemiAuto",ROUND(QCI!$AA$3*QCI.InvManual,2),INDEX(ORÇAMENTO!$AA$15:$AA$165,MATCH($A14,ORÇAMENTO!$E$15:$E$165,0)))))</f>
        <v>13584.25</v>
      </c>
      <c r="AB14">
        <f ca="1">IF($B14="Branco",0,IF($B14="Manual",QCI.OutrosManual,IF($B14="SemiAuto",0,INDEX(ORÇAMENTO!$AB$15:$AB$165,MATCH($A14,ORÇAMENTO!$E$15:$E$165,0)))))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IF(NOT(ISBLANK(QCI.DescManual)),IF(QCI.Divisao="Calculado","Manual","SemiAuto"),IF(ISERROR(MATCH($A15,ORÇAMENTO!$E$15:$E$165,0)),"Branco","Automático"))</f>
        <v>Automático</v>
      </c>
      <c r="C15" t="str">
        <f t="shared" ca="1" si="1"/>
        <v>F</v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IF(OR($B15="Manual",$B15="SemiAuto"),QCI.DescManual,IF($B15="Automático",INDEX(ORÇAMENTO!$R$15:$R$165,MATCH($A15,ORÇAMENTO!$E$15:$E$165,0)),""))</f>
        <v xml:space="preserve">FUNDAÇÕES </v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>LOTE 1</v>
      </c>
      <c r="L15" s="324">
        <f t="shared" ca="1" si="3"/>
        <v>0</v>
      </c>
      <c r="M15" s="325">
        <f t="shared" ca="1" si="4"/>
        <v>29551.54</v>
      </c>
      <c r="N15" s="326">
        <f t="shared" ca="1" si="5"/>
        <v>0</v>
      </c>
      <c r="O15" s="327">
        <f ca="1">IF($B15="Branco",0,IF(OR($B15="Manual",$B15="SemiAuto"),QCI.InvManual,INDEX(ORÇAMENTO!X$15:X$165,MATCH($A15,ORÇAMENTO!$E$15:$E$165,0))))</f>
        <v>29551.54</v>
      </c>
      <c r="P15" s="532"/>
      <c r="R15" s="558"/>
      <c r="T15" s="559"/>
      <c r="U15" s="329"/>
      <c r="V15" s="560" t="s">
        <v>317</v>
      </c>
      <c r="W15" s="330">
        <f t="shared" ca="1" si="6"/>
        <v>29551.54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IF($B15="Branco",0,IF($B15="Manual",QCI.CPManual,IF($B15="SemiAuto",ROUND(QCI!$AA$3*QCI.InvManual,2),INDEX(ORÇAMENTO!$AA$15:$AA$165,MATCH($A15,ORÇAMENTO!$E$15:$E$165,0)))))</f>
        <v>29551.54</v>
      </c>
      <c r="AB15">
        <f ca="1">IF($B15="Branco",0,IF($B15="Manual",QCI.OutrosManual,IF($B15="SemiAuto",0,INDEX(ORÇAMENTO!$AB$15:$AB$165,MATCH($A15,ORÇAMENTO!$E$15:$E$165,0)))))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IF(NOT(ISBLANK(QCI.DescManual)),IF(QCI.Divisao="Calculado","Manual","SemiAuto"),IF(ISERROR(MATCH($A16,ORÇAMENTO!$E$15:$E$165,0)),"Branco","Automático"))</f>
        <v>Automático</v>
      </c>
      <c r="C16" t="str">
        <f t="shared" ca="1" si="1"/>
        <v>F</v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IF(OR($B16="Manual",$B16="SemiAuto"),QCI.DescManual,IF($B16="Automático",INDEX(ORÇAMENTO!$R$15:$R$165,MATCH($A16,ORÇAMENTO!$E$15:$E$165,0)),""))</f>
        <v xml:space="preserve">SUPRAESTRUTURA </v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>LOTE 1</v>
      </c>
      <c r="L16" s="324">
        <f t="shared" ca="1" si="3"/>
        <v>0</v>
      </c>
      <c r="M16" s="325">
        <f t="shared" ca="1" si="4"/>
        <v>29941.17</v>
      </c>
      <c r="N16" s="326">
        <f t="shared" ca="1" si="5"/>
        <v>0</v>
      </c>
      <c r="O16" s="327">
        <f ca="1">IF($B16="Branco",0,IF(OR($B16="Manual",$B16="SemiAuto"),QCI.InvManual,INDEX(ORÇAMENTO!X$15:X$165,MATCH($A16,ORÇAMENTO!$E$15:$E$165,0))))</f>
        <v>29941.17</v>
      </c>
      <c r="P16" s="532"/>
      <c r="R16" s="558"/>
      <c r="T16" s="559"/>
      <c r="U16" s="329"/>
      <c r="V16" s="560" t="s">
        <v>317</v>
      </c>
      <c r="W16" s="330">
        <f t="shared" ca="1" si="6"/>
        <v>29941.17</v>
      </c>
      <c r="X16" s="331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IF($B16="Branco",0,IF($B16="Manual",QCI.CPManual,IF($B16="SemiAuto",ROUND(QCI!$AA$3*QCI.InvManual,2),INDEX(ORÇAMENTO!$AA$15:$AA$165,MATCH($A16,ORÇAMENTO!$E$15:$E$165,0)))))</f>
        <v>29941.17</v>
      </c>
      <c r="AB16">
        <f ca="1">IF($B16="Branco",0,IF($B16="Manual",QCI.OutrosManual,IF($B16="SemiAuto",0,INDEX(ORÇAMENTO!$AB$15:$AB$165,MATCH($A16,ORÇAMENTO!$E$15:$E$165,0)))))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IF(NOT(ISBLANK(QCI.DescManual)),IF(QCI.Divisao="Calculado","Manual","SemiAuto"),IF(ISERROR(MATCH($A17,ORÇAMENTO!$E$15:$E$165,0)),"Branco","Automático"))</f>
        <v>Automático</v>
      </c>
      <c r="C17" t="str">
        <f t="shared" ca="1" si="1"/>
        <v>F</v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IF(OR($B17="Manual",$B17="SemiAuto"),QCI.DescManual,IF($B17="Automático",INDEX(ORÇAMENTO!$R$15:$R$165,MATCH($A17,ORÇAMENTO!$E$15:$E$165,0)),""))</f>
        <v xml:space="preserve">PAREDES E REVESTIMENTOS </v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>LOTE 1</v>
      </c>
      <c r="L17" s="324">
        <f t="shared" ca="1" si="3"/>
        <v>0</v>
      </c>
      <c r="M17" s="325">
        <f t="shared" ca="1" si="4"/>
        <v>104612.68</v>
      </c>
      <c r="N17" s="326">
        <f t="shared" ca="1" si="5"/>
        <v>0</v>
      </c>
      <c r="O17" s="327">
        <f ca="1">IF($B17="Branco",0,IF(OR($B17="Manual",$B17="SemiAuto"),QCI.InvManual,INDEX(ORÇAMENTO!X$15:X$165,MATCH($A17,ORÇAMENTO!$E$15:$E$165,0))))</f>
        <v>104612.68</v>
      </c>
      <c r="P17" s="532"/>
      <c r="R17" s="558"/>
      <c r="T17" s="559"/>
      <c r="U17" s="329"/>
      <c r="V17" s="560" t="s">
        <v>317</v>
      </c>
      <c r="W17" s="330">
        <f t="shared" ca="1" si="6"/>
        <v>104612.68</v>
      </c>
      <c r="X17" s="331">
        <v>0</v>
      </c>
      <c r="Z17">
        <f t="shared" ca="1" si="7"/>
        <v>-2.9103830456733704E-11</v>
      </c>
      <c r="AA17">
        <f ca="1">IF($B17="Branco",0,IF($B17="Manual",QCI.CPManual,IF($B17="SemiAuto",ROUND(QCI!$AA$3*QCI.InvManual,2),INDEX(ORÇAMENTO!$AA$15:$AA$165,MATCH($A17,ORÇAMENTO!$E$15:$E$165,0)))))</f>
        <v>104612.68000000002</v>
      </c>
      <c r="AB17">
        <f ca="1">IF($B17="Branco",0,IF($B17="Manual",QCI.OutrosManual,IF($B17="SemiAuto",0,INDEX(ORÇAMENTO!$AB$15:$AB$165,MATCH($A17,ORÇAMENTO!$E$15:$E$165,0)))))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IF(NOT(ISBLANK(QCI.DescManual)),IF(QCI.Divisao="Calculado","Manual","SemiAuto"),IF(ISERROR(MATCH($A18,ORÇAMENTO!$E$15:$E$165,0)),"Branco","Automático"))</f>
        <v>Automático</v>
      </c>
      <c r="C18" t="str">
        <f t="shared" ca="1" si="1"/>
        <v>F</v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IF(OR($B18="Manual",$B18="SemiAuto"),QCI.DescManual,IF($B18="Automático",INDEX(ORÇAMENTO!$R$15:$R$165,MATCH($A18,ORÇAMENTO!$E$15:$E$165,0)),""))</f>
        <v xml:space="preserve">COBERTURA </v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>LOTE 1</v>
      </c>
      <c r="L18" s="324">
        <f t="shared" ca="1" si="3"/>
        <v>0</v>
      </c>
      <c r="M18" s="325">
        <f t="shared" ca="1" si="4"/>
        <v>51996.85</v>
      </c>
      <c r="N18" s="326">
        <f t="shared" ca="1" si="5"/>
        <v>0</v>
      </c>
      <c r="O18" s="327">
        <f ca="1">IF($B18="Branco",0,IF(OR($B18="Manual",$B18="SemiAuto"),QCI.InvManual,INDEX(ORÇAMENTO!X$15:X$165,MATCH($A18,ORÇAMENTO!$E$15:$E$165,0))))</f>
        <v>51996.85</v>
      </c>
      <c r="P18" s="532"/>
      <c r="R18" s="558"/>
      <c r="T18" s="559"/>
      <c r="U18" s="329"/>
      <c r="V18" s="560" t="s">
        <v>317</v>
      </c>
      <c r="W18" s="330">
        <f t="shared" ca="1" si="6"/>
        <v>51996.85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IF($B18="Branco",0,IF($B18="Manual",QCI.CPManual,IF($B18="SemiAuto",ROUND(QCI!$AA$3*QCI.InvManual,2),INDEX(ORÇAMENTO!$AA$15:$AA$165,MATCH($A18,ORÇAMENTO!$E$15:$E$165,0)))))</f>
        <v>51996.85</v>
      </c>
      <c r="AB18">
        <f ca="1">IF($B18="Branco",0,IF($B18="Manual",QCI.OutrosManual,IF($B18="SemiAuto",0,INDEX(ORÇAMENTO!$AB$15:$AB$165,MATCH($A18,ORÇAMENTO!$E$15:$E$165,0)))))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IF(NOT(ISBLANK(QCI.DescManual)),IF(QCI.Divisao="Calculado","Manual","SemiAuto"),IF(ISERROR(MATCH($A19,ORÇAMENTO!$E$15:$E$165,0)),"Branco","Automático"))</f>
        <v>Automático</v>
      </c>
      <c r="C19" t="str">
        <f t="shared" ca="1" si="1"/>
        <v>F</v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IF(OR($B19="Manual",$B19="SemiAuto"),QCI.DescManual,IF($B19="Automático",INDEX(ORÇAMENTO!$R$15:$R$165,MATCH($A19,ORÇAMENTO!$E$15:$E$165,0)),""))</f>
        <v>SERVIÇOS COMPLEMENTARES</v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>LOTE 1</v>
      </c>
      <c r="L19" s="324">
        <f t="shared" ca="1" si="3"/>
        <v>0</v>
      </c>
      <c r="M19" s="325">
        <f t="shared" ca="1" si="4"/>
        <v>28243.64</v>
      </c>
      <c r="N19" s="326">
        <f t="shared" ca="1" si="5"/>
        <v>0</v>
      </c>
      <c r="O19" s="327">
        <f ca="1">IF($B19="Branco",0,IF(OR($B19="Manual",$B19="SemiAuto"),QCI.InvManual,INDEX(ORÇAMENTO!X$15:X$165,MATCH($A19,ORÇAMENTO!$E$15:$E$165,0))))</f>
        <v>28243.64</v>
      </c>
      <c r="P19" s="532"/>
      <c r="R19" s="558"/>
      <c r="T19" s="559"/>
      <c r="U19" s="329"/>
      <c r="V19" s="560" t="s">
        <v>317</v>
      </c>
      <c r="W19" s="330">
        <f t="shared" ca="1" si="6"/>
        <v>28243.64</v>
      </c>
      <c r="X19" s="331">
        <v>0</v>
      </c>
      <c r="Z19">
        <f t="shared" ca="1" si="7"/>
        <v>-3.637978807091713E-12</v>
      </c>
      <c r="AA19">
        <f ca="1">IF($B19="Branco",0,IF($B19="Manual",QCI.CPManual,IF($B19="SemiAuto",ROUND(QCI!$AA$3*QCI.InvManual,2),INDEX(ORÇAMENTO!$AA$15:$AA$165,MATCH($A19,ORÇAMENTO!$E$15:$E$165,0)))))</f>
        <v>28243.640000000003</v>
      </c>
      <c r="AB19">
        <f ca="1">IF($B19="Branco",0,IF($B19="Manual",QCI.OutrosManual,IF($B19="SemiAuto",0,INDEX(ORÇAMENTO!$AB$15:$AB$165,MATCH($A19,ORÇAMENTO!$E$15:$E$165,0)))))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IF(NOT(ISBLANK(QCI.DescManual)),IF(QCI.Divisao="Calculado","Manual","SemiAuto"),IF(ISERROR(MATCH($A20,ORÇAMENTO!$E$15:$E$165,0)),"Branco","Automático"))</f>
        <v>Automático</v>
      </c>
      <c r="C20" t="str">
        <f t="shared" ca="1" si="1"/>
        <v>F</v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IF(OR($B20="Manual",$B20="SemiAuto"),QCI.DescManual,IF($B20="Automático",INDEX(ORÇAMENTO!$R$15:$R$165,MATCH($A20,ORÇAMENTO!$E$15:$E$165,0)),""))</f>
        <v xml:space="preserve">PAVIMENTAÇÃO </v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>LOTE 1</v>
      </c>
      <c r="L20" s="324">
        <f t="shared" ca="1" si="3"/>
        <v>0</v>
      </c>
      <c r="M20" s="325">
        <f t="shared" ca="1" si="4"/>
        <v>37813.360000000001</v>
      </c>
      <c r="N20" s="326">
        <f t="shared" ca="1" si="5"/>
        <v>0</v>
      </c>
      <c r="O20" s="327">
        <f ca="1">IF($B20="Branco",0,IF(OR($B20="Manual",$B20="SemiAuto"),QCI.InvManual,INDEX(ORÇAMENTO!X$15:X$165,MATCH($A20,ORÇAMENTO!$E$15:$E$165,0))))</f>
        <v>37813.360000000001</v>
      </c>
      <c r="P20" s="532"/>
      <c r="R20" s="558"/>
      <c r="T20" s="559"/>
      <c r="U20" s="329"/>
      <c r="V20" s="560" t="s">
        <v>317</v>
      </c>
      <c r="W20" s="330">
        <f t="shared" ca="1" si="6"/>
        <v>37813.360000000001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IF($B20="Branco",0,IF($B20="Manual",QCI.CPManual,IF($B20="SemiAuto",ROUND(QCI!$AA$3*QCI.InvManual,2),INDEX(ORÇAMENTO!$AA$15:$AA$165,MATCH($A20,ORÇAMENTO!$E$15:$E$165,0)))))</f>
        <v>37813.360000000001</v>
      </c>
      <c r="AB20">
        <f ca="1">IF($B20="Branco",0,IF($B20="Manual",QCI.OutrosManual,IF($B20="SemiAuto",0,INDEX(ORÇAMENTO!$AB$15:$AB$165,MATCH($A20,ORÇAMENTO!$E$15:$E$165,0)))))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IF(NOT(ISBLANK(QCI.DescManual)),IF(QCI.Divisao="Calculado","Manual","SemiAuto"),IF(ISERROR(MATCH($A21,ORÇAMENTO!$E$15:$E$165,0)),"Branco","Automático"))</f>
        <v>Automático</v>
      </c>
      <c r="C21" t="str">
        <f t="shared" ca="1" si="1"/>
        <v>F</v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IF(OR($B21="Manual",$B21="SemiAuto"),QCI.DescManual,IF($B21="Automático",INDEX(ORÇAMENTO!$R$15:$R$165,MATCH($A21,ORÇAMENTO!$E$15:$E$165,0)),""))</f>
        <v xml:space="preserve">ACABAMENTOS </v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>LOTE 1</v>
      </c>
      <c r="L21" s="324">
        <f t="shared" ca="1" si="3"/>
        <v>0</v>
      </c>
      <c r="M21" s="325">
        <f t="shared" ca="1" si="4"/>
        <v>32814.04</v>
      </c>
      <c r="N21" s="326">
        <f t="shared" ca="1" si="5"/>
        <v>0</v>
      </c>
      <c r="O21" s="327">
        <f ca="1">IF($B21="Branco",0,IF(OR($B21="Manual",$B21="SemiAuto"),QCI.InvManual,INDEX(ORÇAMENTO!X$15:X$165,MATCH($A21,ORÇAMENTO!$E$15:$E$165,0))))</f>
        <v>32814.04</v>
      </c>
      <c r="P21" s="532"/>
      <c r="R21" s="558"/>
      <c r="T21" s="559"/>
      <c r="U21" s="329"/>
      <c r="V21" s="560" t="s">
        <v>317</v>
      </c>
      <c r="W21" s="330">
        <f t="shared" ca="1" si="6"/>
        <v>32814.04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IF($B21="Branco",0,IF($B21="Manual",QCI.CPManual,IF($B21="SemiAuto",ROUND(QCI!$AA$3*QCI.InvManual,2),INDEX(ORÇAMENTO!$AA$15:$AA$165,MATCH($A21,ORÇAMENTO!$E$15:$E$165,0)))))</f>
        <v>32814.04</v>
      </c>
      <c r="AB21">
        <f ca="1">IF($B21="Branco",0,IF($B21="Manual",QCI.OutrosManual,IF($B21="SemiAuto",0,INDEX(ORÇAMENTO!$AB$15:$AB$165,MATCH($A21,ORÇAMENTO!$E$15:$E$165,0)))))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IF(NOT(ISBLANK(QCI.DescManual)),IF(QCI.Divisao="Calculado","Manual","SemiAuto"),IF(ISERROR(MATCH($A22,ORÇAMENTO!$E$15:$E$165,0)),"Branco","Automático"))</f>
        <v>Automático</v>
      </c>
      <c r="C22" t="str">
        <f t="shared" ca="1" si="1"/>
        <v>F</v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IF(OR($B22="Manual",$B22="SemiAuto"),QCI.DescManual,IF($B22="Automático",INDEX(ORÇAMENTO!$R$15:$R$165,MATCH($A22,ORÇAMENTO!$E$15:$E$165,0)),""))</f>
        <v>INCENDIO</v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>LOTE 1</v>
      </c>
      <c r="L22" s="324">
        <f t="shared" ca="1" si="3"/>
        <v>0</v>
      </c>
      <c r="M22" s="325">
        <f t="shared" ca="1" si="4"/>
        <v>651.79999999999995</v>
      </c>
      <c r="N22" s="326">
        <f t="shared" ca="1" si="5"/>
        <v>0</v>
      </c>
      <c r="O22" s="327">
        <f ca="1">IF($B22="Branco",0,IF(OR($B22="Manual",$B22="SemiAuto"),QCI.InvManual,INDEX(ORÇAMENTO!X$15:X$165,MATCH($A22,ORÇAMENTO!$E$15:$E$165,0))))</f>
        <v>651.79999999999995</v>
      </c>
      <c r="P22" s="532"/>
      <c r="R22" s="558"/>
      <c r="T22" s="559"/>
      <c r="U22" s="329"/>
      <c r="V22" s="560" t="s">
        <v>317</v>
      </c>
      <c r="W22" s="330">
        <f t="shared" ca="1" si="6"/>
        <v>651.79999999999995</v>
      </c>
      <c r="X22" s="331">
        <v>0</v>
      </c>
      <c r="Z22">
        <f t="shared" ca="1" si="7"/>
        <v>-1.1368683772161603E-13</v>
      </c>
      <c r="AA22">
        <f ca="1">IF($B22="Branco",0,IF($B22="Manual",QCI.CPManual,IF($B22="SemiAuto",ROUND(QCI!$AA$3*QCI.InvManual,2),INDEX(ORÇAMENTO!$AA$15:$AA$165,MATCH($A22,ORÇAMENTO!$E$15:$E$165,0)))))</f>
        <v>651.80000000000007</v>
      </c>
      <c r="AB22">
        <f ca="1">IF($B22="Branco",0,IF($B22="Manual",QCI.OutrosManual,IF($B22="SemiAuto",0,INDEX(ORÇAMENTO!$AB$15:$AB$165,MATCH($A22,ORÇAMENTO!$E$15:$E$165,0)))))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IF(NOT(ISBLANK(QCI.DescManual)),IF(QCI.Divisao="Calculado","Manual","SemiAuto"),IF(ISERROR(MATCH($A23,ORÇAMENTO!$E$15:$E$165,0)),"Branco","Automático"))</f>
        <v>Automático</v>
      </c>
      <c r="C23" t="str">
        <f ca="1">IF(O23&gt;0,"F","")</f>
        <v>F</v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IF(OR($B23="Manual",$B23="SemiAuto"),QCI.DescManual,IF($B23="Automático",INDEX(ORÇAMENTO!$R$15:$R$165,MATCH($A23,ORÇAMENTO!$E$15:$E$165,0)),""))</f>
        <v>CAMPO DE FUTEBOL</v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>LOTE 1</v>
      </c>
      <c r="L23" s="324">
        <f ca="1">ROUND($O23,2)-ROUND($M23,2)-ROUND($N23,2)</f>
        <v>0</v>
      </c>
      <c r="M23" s="325">
        <f ca="1">ROUND($AA23,2)-ROUND($AE23,2)</f>
        <v>69860.06</v>
      </c>
      <c r="N23" s="326">
        <f ca="1">ROUND($AB23,2)</f>
        <v>0</v>
      </c>
      <c r="O23" s="327">
        <f ca="1">IF($B23="Branco",0,IF(OR($B23="Manual",$B23="SemiAuto"),QCI.InvManual,INDEX(ORÇAMENTO!X$15:X$165,MATCH($A23,ORÇAMENTO!$E$15:$E$165,0))))</f>
        <v>69860.06</v>
      </c>
      <c r="P23" s="532"/>
      <c r="R23" s="558"/>
      <c r="T23" s="559"/>
      <c r="U23" s="329"/>
      <c r="V23" s="560" t="s">
        <v>317</v>
      </c>
      <c r="W23" s="330">
        <f ca="1">$O23</f>
        <v>69860.06</v>
      </c>
      <c r="X23" s="331">
        <v>0</v>
      </c>
      <c r="Z23">
        <f ca="1">$O23-$AA23-$AB23</f>
        <v>-1.4551915228366852E-11</v>
      </c>
      <c r="AA23">
        <f ca="1">IF($B23="Branco",0,IF($B23="Manual",QCI.CPManual,IF($B23="SemiAuto",ROUND(QCI!$AA$3*QCI.InvManual,2),INDEX(ORÇAMENTO!$AA$15:$AA$165,MATCH($A23,ORÇAMENTO!$E$15:$E$165,0)))))</f>
        <v>69860.060000000012</v>
      </c>
      <c r="AB23">
        <f ca="1">IF($B23="Branco",0,IF($B23="Manual",QCI.OutrosManual,IF($B23="SemiAuto",0,INDEX(ORÇAMENTO!$AB$15:$AB$165,MATCH($A23,ORÇAMENTO!$E$15:$E$165,0)))))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0" t="s">
        <v>328</v>
      </c>
      <c r="L24" s="341">
        <f ca="1">SUM(L13:OFFSET(L24,-1,0))</f>
        <v>0</v>
      </c>
      <c r="M24" s="342">
        <f ca="1">SUM(M13:OFFSET(M24,-1,0))</f>
        <v>399069.38999999996</v>
      </c>
      <c r="N24" s="343">
        <f ca="1">SUM(N13:OFFSET(N24,-1,0))</f>
        <v>0</v>
      </c>
      <c r="O24" s="344">
        <f ca="1">SUM(O13:OFFSET(O24,-1,0))</f>
        <v>399069.38999999996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399069.38999999996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0"/>
      <c r="L25" s="353">
        <f ca="1">IF(ISERROR(L24/$O24),0,ROUND(L24/$O24,4))</f>
        <v>0</v>
      </c>
      <c r="M25" s="354">
        <f ca="1">IF(ISERROR(M24/$O24),0,ROUND(M24/$O24,4))</f>
        <v>1</v>
      </c>
      <c r="N25" s="355">
        <f ca="1">IF(ISERROR(N24/$O24),0,ROUND(N24/$O24,4))</f>
        <v>0</v>
      </c>
      <c r="O25" s="356">
        <f ca="1">IF(ISERROR(O24/$O24),0,ROUND(O24/$O24,4))</f>
        <v>1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20"/>
      <c r="E28" s="620"/>
      <c r="F28" s="620"/>
      <c r="G28" s="620"/>
      <c r="H28" s="620"/>
      <c r="I28" s="620"/>
      <c r="J28" s="620"/>
      <c r="K28" s="620"/>
      <c r="L28" s="620"/>
      <c r="M28" s="620"/>
      <c r="N28" s="620"/>
      <c r="O28" s="620"/>
    </row>
    <row r="29" spans="1:31" ht="12.75" customHeight="1" x14ac:dyDescent="0.2">
      <c r="D29" s="620"/>
      <c r="E29" s="620"/>
      <c r="F29" s="620"/>
      <c r="G29" s="620"/>
      <c r="H29" s="620"/>
      <c r="I29" s="620"/>
      <c r="J29" s="620"/>
      <c r="K29" s="620"/>
      <c r="L29" s="620"/>
      <c r="M29" s="620"/>
      <c r="N29" s="620"/>
      <c r="O29" s="620"/>
    </row>
    <row r="30" spans="1:31" ht="12.75" customHeight="1" x14ac:dyDescent="0.2">
      <c r="D30" s="620"/>
      <c r="E30" s="620"/>
      <c r="F30" s="620"/>
      <c r="G30" s="620"/>
      <c r="H30" s="620"/>
      <c r="I30" s="620"/>
      <c r="J30" s="620"/>
      <c r="K30" s="620"/>
      <c r="L30" s="620"/>
      <c r="M30" s="620"/>
      <c r="N30" s="620"/>
      <c r="O30" s="620"/>
    </row>
    <row r="33" spans="4:12" ht="15" x14ac:dyDescent="0.2">
      <c r="D33" s="622" t="str">
        <f>Import.Município</f>
        <v xml:space="preserve">ÁGUAS DE CHAPECÓ </v>
      </c>
      <c r="E33" s="622"/>
      <c r="F33" s="622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OSCAR BARELA</v>
      </c>
    </row>
    <row r="36" spans="4:12" x14ac:dyDescent="0.2">
      <c r="D36" s="617">
        <f ca="1">DADOS!$F$25</f>
        <v>46310</v>
      </c>
      <c r="E36" s="617"/>
      <c r="F36" s="617"/>
      <c r="I36" s="78" t="str">
        <f>"Cargo:"  &amp; " " &amp; DADOS!F29</f>
        <v>Cargo: PREFEITO MUNICIPAL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 xr:uid="{00000000-0009-0000-0000-00000A000000}"/>
  <mergeCells count="20">
    <mergeCell ref="D3:E3"/>
    <mergeCell ref="G3:I3"/>
    <mergeCell ref="J3:L3"/>
    <mergeCell ref="M3:O4"/>
    <mergeCell ref="D4:E4"/>
    <mergeCell ref="G4:I4"/>
    <mergeCell ref="J4:L4"/>
    <mergeCell ref="AD10:AE10"/>
    <mergeCell ref="K24:K25"/>
    <mergeCell ref="C7:C11"/>
    <mergeCell ref="G9:J10"/>
    <mergeCell ref="K9:K10"/>
    <mergeCell ref="AD9:AE9"/>
    <mergeCell ref="D7:K7"/>
    <mergeCell ref="D6:K6"/>
    <mergeCell ref="A10:A11"/>
    <mergeCell ref="Z10:AB10"/>
    <mergeCell ref="D36:F36"/>
    <mergeCell ref="D28:O30"/>
    <mergeCell ref="D33:F33"/>
  </mergeCells>
  <phoneticPr fontId="38" type="noConversion"/>
  <conditionalFormatting sqref="T12:V12">
    <cfRule type="expression" dxfId="82" priority="157" stopIfTrue="1">
      <formula>OR($B12="Automático",$B12="Branco")</formula>
    </cfRule>
  </conditionalFormatting>
  <conditionalFormatting sqref="L12">
    <cfRule type="expression" dxfId="81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80" priority="159" stopIfTrue="1">
      <formula>OR($B12="Automático",$B12="Branco",$V12&lt;&gt;"Calculado")</formula>
    </cfRule>
  </conditionalFormatting>
  <conditionalFormatting sqref="M25">
    <cfRule type="expression" dxfId="79" priority="161" stopIfTrue="1">
      <formula>AND($G$9&lt;&gt;"",OR($M$25&lt;Import.CPMinPerc,$M$25&gt;Import.CPMaxPerc))</formula>
    </cfRule>
  </conditionalFormatting>
  <conditionalFormatting sqref="M24">
    <cfRule type="expression" dxfId="78" priority="162" stopIfTrue="1">
      <formula>AND($G$9&lt;&gt;"",$M$24&lt;Import.CPMinAbsoluta)</formula>
    </cfRule>
  </conditionalFormatting>
  <conditionalFormatting sqref="L10:M10">
    <cfRule type="cellIs" dxfId="77" priority="163" stopIfTrue="1" operator="lessThan">
      <formula>0</formula>
    </cfRule>
  </conditionalFormatting>
  <conditionalFormatting sqref="G12">
    <cfRule type="cellIs" dxfId="76" priority="164" stopIfTrue="1" operator="equal">
      <formula>"(digite a descrição aqui)"</formula>
    </cfRule>
  </conditionalFormatting>
  <conditionalFormatting sqref="T14:V22">
    <cfRule type="expression" dxfId="75" priority="5" stopIfTrue="1">
      <formula>OR($B14="Automático",$B14="Branco")</formula>
    </cfRule>
  </conditionalFormatting>
  <conditionalFormatting sqref="L14:L22">
    <cfRule type="expression" dxfId="7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73" priority="7" stopIfTrue="1">
      <formula>OR($B14="Automático",$B14="Branco",$V14&lt;&gt;"Calculado")</formula>
    </cfRule>
  </conditionalFormatting>
  <conditionalFormatting sqref="G14:G22">
    <cfRule type="cellIs" dxfId="72" priority="8" stopIfTrue="1" operator="equal">
      <formula>"(digite a descrição aqui)"</formula>
    </cfRule>
  </conditionalFormatting>
  <conditionalFormatting sqref="T23:V23">
    <cfRule type="expression" dxfId="71" priority="1" stopIfTrue="1">
      <formula>OR($B23="Automático",$B23="Branco")</formula>
    </cfRule>
  </conditionalFormatting>
  <conditionalFormatting sqref="L23">
    <cfRule type="expression" dxfId="7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69" priority="3" stopIfTrue="1">
      <formula>OR($B23="Automático",$B23="Branco",$V23&lt;&gt;"Calculado")</formula>
    </cfRule>
  </conditionalFormatting>
  <conditionalFormatting sqref="G23">
    <cfRule type="cellIs" dxfId="6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180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163" sqref="A163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CONTRATAÇÃO INTEGRADA - (SELECIONAR)</v>
      </c>
      <c r="O2" s="12" t="s">
        <v>143</v>
      </c>
    </row>
    <row r="3" spans="1:41" x14ac:dyDescent="0.2">
      <c r="A3" s="688" t="b">
        <v>0</v>
      </c>
      <c r="B3" s="688"/>
      <c r="E3" s="87"/>
    </row>
    <row r="4" spans="1:41" x14ac:dyDescent="0.2">
      <c r="D4" s="600" t="s">
        <v>147</v>
      </c>
      <c r="E4" s="600"/>
      <c r="F4" s="611" t="s">
        <v>146</v>
      </c>
      <c r="G4" s="611"/>
      <c r="H4" s="611"/>
      <c r="I4" s="151" t="s">
        <v>443</v>
      </c>
      <c r="J4" s="600" t="s">
        <v>202</v>
      </c>
      <c r="K4" s="600"/>
      <c r="L4" s="600"/>
      <c r="M4" s="600"/>
      <c r="N4" s="600"/>
      <c r="O4" s="153" t="s">
        <v>332</v>
      </c>
    </row>
    <row r="5" spans="1:41" ht="12.75" customHeight="1" x14ac:dyDescent="0.2">
      <c r="A5" t="s">
        <v>333</v>
      </c>
      <c r="D5" s="603" t="str">
        <f>Import.Proponente</f>
        <v>PREFEITURA MUNICIPAL DE ÁGUAS DE CHAPECÓ</v>
      </c>
      <c r="E5" s="603"/>
      <c r="F5" s="616">
        <f>Import.CR</f>
        <v>0</v>
      </c>
      <c r="G5" s="616"/>
      <c r="H5" s="616"/>
      <c r="I5" s="367">
        <f>Import.TransfereGOV</f>
        <v>0</v>
      </c>
      <c r="J5" s="603" t="str">
        <f>Import.Apelido</f>
        <v>SEDE ESPORTIVA, ILUMINAÇÃO E ALAMBRADO DO CAMPO</v>
      </c>
      <c r="K5" s="603"/>
      <c r="L5" s="603"/>
      <c r="M5" s="603"/>
      <c r="N5" s="603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Unitário</v>
      </c>
      <c r="D7" s="89" t="s">
        <v>335</v>
      </c>
      <c r="E7" s="89" t="s">
        <v>336</v>
      </c>
      <c r="F7" s="600" t="s">
        <v>337</v>
      </c>
      <c r="G7" s="600"/>
      <c r="H7" s="600"/>
      <c r="I7" s="600" t="str">
        <f>IF(TIPOORCAMENTO="Licitado","REGIME DE EXECUÇÃO","MUNICÍPIO / UF")</f>
        <v>MUNICÍPIO / UF</v>
      </c>
      <c r="J7" s="600"/>
      <c r="K7" s="600"/>
      <c r="L7" s="600"/>
      <c r="M7" s="600" t="s">
        <v>338</v>
      </c>
      <c r="N7" s="600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593" t="s">
        <v>209</v>
      </c>
      <c r="D8" s="371">
        <f>Import.CTEF</f>
        <v>0</v>
      </c>
      <c r="E8" s="57">
        <f>Import.empresa</f>
        <v>0</v>
      </c>
      <c r="F8" s="603">
        <f>Import.CNPJ</f>
        <v>0</v>
      </c>
      <c r="G8" s="603"/>
      <c r="H8" s="603"/>
      <c r="I8" s="603" t="str">
        <f>IF(TIPOORCAMENTO="Licitado",Import.RegimeExecução,Import.Município)</f>
        <v xml:space="preserve">ÁGUAS DE CHAPECÓ </v>
      </c>
      <c r="J8" s="603"/>
      <c r="K8" s="603"/>
      <c r="L8" s="603"/>
      <c r="M8" s="603" t="str">
        <f ca="1">TEXT(IF(BM.medicao=1,Import.DataInicioObra,OFFSET($AB$12,0,BM.medicao-1-$AB$13)+1),"dd/mm/aaaa")&amp;" a "&amp;TEXT(OFFSET($AB$12,0,BM.medicao-$AB$13),"dd/mm/aaaa")</f>
        <v>00/01/1900 a 00/01/1900</v>
      </c>
      <c r="N8" s="603"/>
      <c r="O8" s="490">
        <v>1</v>
      </c>
    </row>
    <row r="9" spans="1:41" ht="12.75" customHeight="1" x14ac:dyDescent="0.2">
      <c r="A9" s="531" t="b">
        <v>1</v>
      </c>
      <c r="B9" s="43"/>
      <c r="C9" s="593"/>
    </row>
    <row r="10" spans="1:41" x14ac:dyDescent="0.2">
      <c r="C10" s="593"/>
      <c r="E10" s="686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686"/>
      <c r="G10" s="686"/>
      <c r="H10" s="686"/>
      <c r="I10" s="686"/>
      <c r="N10" s="687" t="str">
        <f ca="1">"Realizado Acumulado: "&amp;TEXT(ROUND($O$15/($I$15+10^-12),4),"0,00%")</f>
        <v>Realizado Acumulado: 0,00%</v>
      </c>
      <c r="O10" s="687"/>
    </row>
    <row r="11" spans="1:41" ht="15" customHeight="1" x14ac:dyDescent="0.25">
      <c r="C11" s="593"/>
      <c r="E11" s="686"/>
      <c r="F11" s="686"/>
      <c r="G11" s="686"/>
      <c r="H11" s="686"/>
      <c r="I11" s="686"/>
      <c r="N11" s="687"/>
      <c r="O11" s="687"/>
      <c r="T11" s="685" t="s">
        <v>341</v>
      </c>
      <c r="U11" s="685"/>
      <c r="Z11" s="4"/>
      <c r="AB11" s="660" t="s">
        <v>342</v>
      </c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</row>
    <row r="12" spans="1:41" ht="15" customHeight="1" x14ac:dyDescent="0.25">
      <c r="C12" s="593"/>
      <c r="E12" s="85" t="s">
        <v>343</v>
      </c>
      <c r="J12" s="605" t="str">
        <f ca="1">"Evolução Física "&amp;CHOOSE(MATCH(RegimeExecucao,{"Unitário","Global"},0),"(Qtde.)","(%)")</f>
        <v>Evolução Física (Qtde.)</v>
      </c>
      <c r="K12" s="605"/>
      <c r="L12" s="605"/>
      <c r="M12" s="605" t="s">
        <v>344</v>
      </c>
      <c r="N12" s="605"/>
      <c r="O12" s="605"/>
      <c r="Q12" s="605" t="str">
        <f ca="1">"Aferido (CAIXA) "&amp;CHOOSE(MATCH(RegimeExecucao,{"Unitário","Global"},0),"(Qtde.)","(%)")</f>
        <v>Aferido (CAIXA) (Qtde.)</v>
      </c>
      <c r="R12" s="605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>Unidade</v>
      </c>
      <c r="W13" s="337" t="str">
        <f ca="1">CHOOSE(MATCH(RegimeExecucao,{"Unitário","Global"},0),"Quant. Glosada (unid)","Percentual Glosado (%)")</f>
        <v>Quant. Glosada (unid)</v>
      </c>
      <c r="X13" s="337" t="str">
        <f ca="1">CHOOSE(MATCH(RegimeExecucao,{"Unitário","Global"},0),"Preço Unitário (R$)","Valor Total do Item (R$)")</f>
        <v>Preço Unitário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(Sem Código)</v>
      </c>
      <c r="F14" s="173" t="str">
        <f ca="1">IF(RegimeExecucao="Global","",ORÇAMENTO.Unidade)</f>
        <v>-</v>
      </c>
      <c r="G14" s="124">
        <f ca="1">IF(RegimeExecucao="Global","",ORÇAMENTO!T14)</f>
        <v>0</v>
      </c>
      <c r="H14" s="124">
        <f ca="1">IF(RegimeExecucao="Global","",ORÇAMENTO!W14)</f>
        <v>0</v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4" t="str">
        <f>"Objeto do CTEF: "&amp;Import.DescLote</f>
        <v xml:space="preserve">Objeto do CTEF: SEDE ESPORTIVA </v>
      </c>
      <c r="E15" s="684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IF(OR(ACOMPANHAMENTO="PLE",TIPOORCAMENTO="Proposto"),0,SUMIF(OFFSET($A15,1,0):$A$165,"S",OFFSET(M15,1,0):M$165))</f>
        <v>0</v>
      </c>
      <c r="N15" s="386">
        <f ca="1">O15-M15</f>
        <v>0</v>
      </c>
      <c r="O15" s="386">
        <f ca="1">IF(OR(ACOMPANHAMENTO="PLE",TIPOORCAMENTO="Proposto"),0,SUMIF(OFFSET($A15,1,0):$A$165,"S",OFFSET(O15,1,0):O$165))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0" t="str">
        <f ca="1">"Preencher abaixo com a "&amp;CHOOSE(MATCH(RegimeExecucao,{"Unitário","Global"},0),"QUANTIDADE","PORCENTAGEM")&amp;" executada no PERÍODO"</f>
        <v>Preencher abaixo com a QUANTIDADE executada no PERÍODO</v>
      </c>
      <c r="AC15" s="680"/>
      <c r="AD15" s="680"/>
      <c r="AE15" s="680"/>
      <c r="AF15" s="680"/>
      <c r="AG15" s="680"/>
      <c r="AH15" s="680"/>
      <c r="AI15" s="680"/>
      <c r="AJ15" s="680"/>
      <c r="AK15" s="680"/>
      <c r="AL15" s="680"/>
      <c r="AM15" s="680"/>
    </row>
    <row r="16" spans="1:41" x14ac:dyDescent="0.2">
      <c r="A16">
        <f ca="1">ORÇAMENTO!C16</f>
        <v>1</v>
      </c>
      <c r="B16">
        <f ca="1">ORÇAMENTO!D16</f>
        <v>11</v>
      </c>
      <c r="C16" s="116" t="str">
        <f t="shared" ref="C16:C114" ca="1" si="1">IF(OR($I16&gt;0,$A16=1,$A16=2,$A16=3,$A16=4),"F","")</f>
        <v>F</v>
      </c>
      <c r="D16" s="119" t="str">
        <f ca="1">ORÇAMENTO!O16</f>
        <v>1.</v>
      </c>
      <c r="E16" s="172" t="str">
        <f t="shared" ref="E16:E114" si="2">ORÇAMENTO.Descricao</f>
        <v>SERVIÇOS PRELIMINARES</v>
      </c>
      <c r="F16" s="173" t="str">
        <f ca="1">IF(RegimeExecucao="Global","",ORÇAMENTO.Unidade)</f>
        <v>-</v>
      </c>
      <c r="G16" s="124">
        <f ca="1">IF(RegimeExecucao="Global","",ORÇAMENTO!T16)</f>
        <v>0</v>
      </c>
      <c r="H16" s="124">
        <f ca="1">IF(RegimeExecucao="Global","",ORÇAMENTO!W16)</f>
        <v>0</v>
      </c>
      <c r="I16" s="127">
        <f ca="1">ORÇAMENTO!X16</f>
        <v>13584.25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114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114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114" ca="1" si="5">IF($W16&gt;0,$D16,"")</f>
        <v/>
      </c>
      <c r="U16" s="172" t="str">
        <f t="shared" ref="U16:U114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114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6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 xml:space="preserve">PROJETOS E EXECUÇÃO </v>
      </c>
      <c r="F17" s="173" t="str">
        <f ca="1">IF(RegimeExecucao="Global","",ORÇAMENTO.Unidade)</f>
        <v>-</v>
      </c>
      <c r="G17" s="124">
        <f ca="1">IF(RegimeExecucao="Global","",ORÇAMENTO!T17)</f>
        <v>0</v>
      </c>
      <c r="H17" s="124">
        <f ca="1">IF(RegimeExecucao="Global","",ORÇAMENTO!W17)</f>
        <v>0</v>
      </c>
      <c r="I17" s="127">
        <f ca="1">ORÇAMENTO!X17</f>
        <v>7764.48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>F</v>
      </c>
      <c r="D18" s="119" t="str">
        <f ca="1">ORÇAMENTO!O18</f>
        <v>1.1.1.</v>
      </c>
      <c r="E18" s="172" t="str">
        <f t="shared" ca="1" si="2"/>
        <v xml:space="preserve">PROJETO ESTRTUTURAL </v>
      </c>
      <c r="F18" s="173" t="str">
        <f ca="1">IF(RegimeExecucao="Global","",ORÇAMENTO.Unidade)</f>
        <v xml:space="preserve">M2 </v>
      </c>
      <c r="G18" s="124">
        <f ca="1">IF(RegimeExecucao="Global","",ORÇAMENTO!T18)</f>
        <v>195.33</v>
      </c>
      <c r="H18" s="124">
        <f ca="1">IF(RegimeExecucao="Global","",ORÇAMENTO!W18)</f>
        <v>13.44</v>
      </c>
      <c r="I18" s="127">
        <f ca="1">ORÇAMENTO!X18</f>
        <v>2625.24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 t="str">
        <f ca="1">ORÇAMENTO!C19</f>
        <v>S</v>
      </c>
      <c r="B19">
        <f ca="1">ORÇAMENTO!D19</f>
        <v>0</v>
      </c>
      <c r="C19" s="116" t="str">
        <f t="shared" ca="1" si="1"/>
        <v>F</v>
      </c>
      <c r="D19" s="119" t="str">
        <f ca="1">ORÇAMENTO!O19</f>
        <v>1.1.2.</v>
      </c>
      <c r="E19" s="172" t="str">
        <f t="shared" ca="1" si="2"/>
        <v xml:space="preserve">PROJETO HIDROSSANITÁRIO </v>
      </c>
      <c r="F19" s="173" t="str">
        <f ca="1">IF(RegimeExecucao="Global","",ORÇAMENTO.Unidade)</f>
        <v xml:space="preserve">M2 </v>
      </c>
      <c r="G19" s="124">
        <f ca="1">IF(RegimeExecucao="Global","",ORÇAMENTO!T19)</f>
        <v>195.33</v>
      </c>
      <c r="H19" s="124">
        <f ca="1">IF(RegimeExecucao="Global","",ORÇAMENTO!W19)</f>
        <v>7.06</v>
      </c>
      <c r="I19" s="127">
        <f ca="1">ORÇAMENTO!X19</f>
        <v>1379.03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>F</v>
      </c>
      <c r="D20" s="119" t="str">
        <f ca="1">ORÇAMENTO!O20</f>
        <v>1.1.3.</v>
      </c>
      <c r="E20" s="172" t="str">
        <f t="shared" ca="1" si="2"/>
        <v xml:space="preserve">PROJETO ELÉTRICO </v>
      </c>
      <c r="F20" s="173" t="str">
        <f ca="1">IF(RegimeExecucao="Global","",ORÇAMENTO.Unidade)</f>
        <v xml:space="preserve">M2 </v>
      </c>
      <c r="G20" s="124">
        <f ca="1">IF(RegimeExecucao="Global","",ORÇAMENTO!T20)</f>
        <v>195.33</v>
      </c>
      <c r="H20" s="124">
        <f ca="1">IF(RegimeExecucao="Global","",ORÇAMENTO!W20)</f>
        <v>7.73</v>
      </c>
      <c r="I20" s="127">
        <f ca="1">ORÇAMENTO!X20</f>
        <v>1509.9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x14ac:dyDescent="0.2">
      <c r="A21" t="str">
        <f ca="1">ORÇAMENTO!C21</f>
        <v>S</v>
      </c>
      <c r="B21">
        <f ca="1">ORÇAMENTO!D21</f>
        <v>0</v>
      </c>
      <c r="C21" s="116" t="str">
        <f t="shared" ref="C21:C26" ca="1" si="8">IF(OR($I21&gt;0,$A21=1,$A21=2,$A21=3,$A21=4),"F","")</f>
        <v>F</v>
      </c>
      <c r="D21" s="119" t="str">
        <f ca="1">ORÇAMENTO!O21</f>
        <v>1.1.4.</v>
      </c>
      <c r="E21" s="172" t="str">
        <f ca="1">ORÇAMENTO.Descricao</f>
        <v xml:space="preserve">PROJETO PREVENTIVO DE INCENDIO </v>
      </c>
      <c r="F21" s="173" t="str">
        <f ca="1">IF(RegimeExecucao="Global","",ORÇAMENTO.Unidade)</f>
        <v xml:space="preserve">M2 </v>
      </c>
      <c r="G21" s="124">
        <f ca="1">IF(RegimeExecucao="Global","",ORÇAMENTO!T21)</f>
        <v>195.33</v>
      </c>
      <c r="H21" s="124">
        <f ca="1">IF(RegimeExecucao="Global","",ORÇAMENTO!W21)</f>
        <v>6.38</v>
      </c>
      <c r="I21" s="127">
        <f ca="1">ORÇAMENTO!X21</f>
        <v>1246.21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ref="K21:K26" ca="1" si="9">L21-J21</f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ref="N21:N26" ca="1" si="10">O21-M21</f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ref="T21:T26" ca="1" si="11">IF($W21&gt;0,$D21,"")</f>
        <v/>
      </c>
      <c r="U21" s="172" t="str">
        <f t="shared" ref="U21:U26" ca="1" si="12">IF($W21&gt;0,$E21,"")</f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ref="Y21:Y26" ca="1" si="13">AO21-O21</f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25.5" x14ac:dyDescent="0.2">
      <c r="A22" t="str">
        <f ca="1">ORÇAMENTO!C22</f>
        <v>S</v>
      </c>
      <c r="B22">
        <f ca="1">ORÇAMENTO!D22</f>
        <v>0</v>
      </c>
      <c r="C22" s="116" t="str">
        <f t="shared" ca="1" si="8"/>
        <v>F</v>
      </c>
      <c r="D22" s="119" t="str">
        <f ca="1">ORÇAMENTO!O22</f>
        <v>1.1.5.</v>
      </c>
      <c r="E22" s="172" t="str">
        <f ca="1">ORÇAMENTO.Descricao</f>
        <v>ENGENHEIRO CIVIL DE OBRA JUNIOR COM ENCARGOS COMPLEMENTARES</v>
      </c>
      <c r="F22" s="173" t="str">
        <f ca="1">IF(RegimeExecucao="Global","",ORÇAMENTO.Unidade)</f>
        <v>H</v>
      </c>
      <c r="G22" s="124">
        <f ca="1">IF(RegimeExecucao="Global","",ORÇAMENTO!T22)</f>
        <v>6</v>
      </c>
      <c r="H22" s="124">
        <f ca="1">IF(RegimeExecucao="Global","",ORÇAMENTO!W22)</f>
        <v>167.35</v>
      </c>
      <c r="I22" s="127">
        <f ca="1">ORÇAMENTO!X22</f>
        <v>1004.1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9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10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11"/>
        <v/>
      </c>
      <c r="U22" s="172" t="str">
        <f t="shared" ca="1" si="12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13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x14ac:dyDescent="0.2">
      <c r="A23">
        <f ca="1">ORÇAMENTO!C23</f>
        <v>2</v>
      </c>
      <c r="B23">
        <f ca="1">ORÇAMENTO!D23</f>
        <v>4</v>
      </c>
      <c r="C23" s="116" t="str">
        <f t="shared" ca="1" si="8"/>
        <v>F</v>
      </c>
      <c r="D23" s="119" t="str">
        <f ca="1">ORÇAMENTO!O23</f>
        <v>1.2.</v>
      </c>
      <c r="E23" s="172" t="str">
        <f t="shared" ref="E23:E26" si="14">ORÇAMENTO.Descricao</f>
        <v xml:space="preserve">SERVIÇOS INICIAIS E LOCAÇÃO </v>
      </c>
      <c r="F23" s="173" t="str">
        <f ca="1">IF(RegimeExecucao="Global","",ORÇAMENTO.Unidade)</f>
        <v>-</v>
      </c>
      <c r="G23" s="124">
        <f ca="1">IF(RegimeExecucao="Global","",ORÇAMENTO!T23)</f>
        <v>0</v>
      </c>
      <c r="H23" s="124">
        <f ca="1">IF(RegimeExecucao="Global","",ORÇAMENTO!W23)</f>
        <v>0</v>
      </c>
      <c r="I23" s="127">
        <f ca="1">ORÇAMENTO!X23</f>
        <v>5819.77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9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10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11"/>
        <v/>
      </c>
      <c r="U23" s="172" t="str">
        <f t="shared" ca="1" si="12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13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25.5" x14ac:dyDescent="0.2">
      <c r="A24" t="str">
        <f ca="1">ORÇAMENTO!C24</f>
        <v>S</v>
      </c>
      <c r="B24">
        <f ca="1">ORÇAMENTO!D24</f>
        <v>0</v>
      </c>
      <c r="C24" s="116" t="str">
        <f t="shared" ca="1" si="8"/>
        <v>F</v>
      </c>
      <c r="D24" s="119" t="str">
        <f ca="1">ORÇAMENTO!O24</f>
        <v>1.2.1.</v>
      </c>
      <c r="E24" s="172" t="str">
        <f ca="1">ORÇAMENTO.Descricao</f>
        <v>CORTE RASO E RECORTE DE ÁRVORE COM DIÂMETRO DE TRONCO MAIOR OU IGUAL A 0,60 M. AF_03/2024</v>
      </c>
      <c r="F24" s="173" t="str">
        <f ca="1">IF(RegimeExecucao="Global","",ORÇAMENTO.Unidade)</f>
        <v>UN</v>
      </c>
      <c r="G24" s="124">
        <f ca="1">IF(RegimeExecucao="Global","",ORÇAMENTO!T24)</f>
        <v>3</v>
      </c>
      <c r="H24" s="124">
        <f ca="1">IF(RegimeExecucao="Global","",ORÇAMENTO!W24)</f>
        <v>549.70000000000005</v>
      </c>
      <c r="I24" s="127">
        <f ca="1">ORÇAMENTO!X24</f>
        <v>1649.1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9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10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11"/>
        <v/>
      </c>
      <c r="U24" s="172" t="str">
        <f t="shared" ca="1" si="12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13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25.5" x14ac:dyDescent="0.2">
      <c r="A25" t="str">
        <f ca="1">ORÇAMENTO!C25</f>
        <v>S</v>
      </c>
      <c r="B25">
        <f ca="1">ORÇAMENTO!D25</f>
        <v>0</v>
      </c>
      <c r="C25" s="116" t="str">
        <f t="shared" ca="1" si="8"/>
        <v>F</v>
      </c>
      <c r="D25" s="119" t="str">
        <f ca="1">ORÇAMENTO!O25</f>
        <v>1.2.2.</v>
      </c>
      <c r="E25" s="172" t="str">
        <f t="shared" ca="1" si="14"/>
        <v>FORNECIMENTO E INSTALAÇÃO DE PLACA DE OBRA COM CHAPA GALVANIZADA E ESTRUTURA DE MADEIRA. AF_03/2022_PS</v>
      </c>
      <c r="F25" s="173" t="str">
        <f ca="1">IF(RegimeExecucao="Global","",ORÇAMENTO.Unidade)</f>
        <v>M2</v>
      </c>
      <c r="G25" s="124">
        <f ca="1">IF(RegimeExecucao="Global","",ORÇAMENTO!T25)</f>
        <v>3</v>
      </c>
      <c r="H25" s="124">
        <f ca="1">IF(RegimeExecucao="Global","",ORÇAMENTO!W25)</f>
        <v>607.01</v>
      </c>
      <c r="I25" s="127">
        <f ca="1">ORÇAMENTO!X25</f>
        <v>1821.03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9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10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11"/>
        <v/>
      </c>
      <c r="U25" s="172" t="str">
        <f t="shared" ca="1" si="12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13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38.25" x14ac:dyDescent="0.2">
      <c r="A26" t="str">
        <f ca="1">ORÇAMENTO!C26</f>
        <v>S</v>
      </c>
      <c r="B26">
        <f ca="1">ORÇAMENTO!D26</f>
        <v>0</v>
      </c>
      <c r="C26" s="116" t="str">
        <f t="shared" ca="1" si="8"/>
        <v>F</v>
      </c>
      <c r="D26" s="119" t="str">
        <f ca="1">ORÇAMENTO!O26</f>
        <v>1.2.3.</v>
      </c>
      <c r="E26" s="172" t="str">
        <f t="shared" ca="1" si="14"/>
        <v>LOCAÇÃO CONVENCIONAL DE OBRA, UTILIZANDO GABARITO DE TÁBUAS CORRIDAS PONTALETADAS A CADA 2,00M - 2 UTILIZAÇÕES. AF_03/2024</v>
      </c>
      <c r="F26" s="173" t="str">
        <f ca="1">IF(RegimeExecucao="Global","",ORÇAMENTO.Unidade)</f>
        <v>M</v>
      </c>
      <c r="G26" s="124">
        <f ca="1">IF(RegimeExecucao="Global","",ORÇAMENTO!T26)</f>
        <v>20.6</v>
      </c>
      <c r="H26" s="124">
        <f ca="1">IF(RegimeExecucao="Global","",ORÇAMENTO!W26)</f>
        <v>114.06</v>
      </c>
      <c r="I26" s="127">
        <f ca="1">ORÇAMENTO!X26</f>
        <v>2349.64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9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10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11"/>
        <v/>
      </c>
      <c r="U26" s="172" t="str">
        <f t="shared" ca="1" si="12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13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x14ac:dyDescent="0.2">
      <c r="A27">
        <f ca="1">ORÇAMENTO!C27</f>
        <v>1</v>
      </c>
      <c r="B27">
        <f ca="1">ORÇAMENTO!D27</f>
        <v>13</v>
      </c>
      <c r="C27" s="116" t="str">
        <f t="shared" ca="1" si="1"/>
        <v>F</v>
      </c>
      <c r="D27" s="119" t="str">
        <f ca="1">ORÇAMENTO!O27</f>
        <v>2.</v>
      </c>
      <c r="E27" s="172" t="str">
        <f t="shared" si="2"/>
        <v xml:space="preserve">FUNDAÇÕES </v>
      </c>
      <c r="F27" s="173" t="str">
        <f ca="1">IF(RegimeExecucao="Global","",ORÇAMENTO.Unidade)</f>
        <v>-</v>
      </c>
      <c r="G27" s="124">
        <f ca="1">IF(RegimeExecucao="Global","",ORÇAMENTO!T27)</f>
        <v>0</v>
      </c>
      <c r="H27" s="124">
        <f ca="1">IF(RegimeExecucao="Global","",ORÇAMENTO!W27)</f>
        <v>0</v>
      </c>
      <c r="I27" s="127">
        <f ca="1">ORÇAMENTO!X27</f>
        <v>29551.54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x14ac:dyDescent="0.2">
      <c r="A28">
        <f ca="1">ORÇAMENTO!C28</f>
        <v>2</v>
      </c>
      <c r="B28">
        <f ca="1">ORÇAMENTO!D28</f>
        <v>5</v>
      </c>
      <c r="C28" s="116" t="str">
        <f ca="1">IF(OR($I28&gt;0,$A28=1,$A28=2,$A28=3,$A28=4),"F","")</f>
        <v>F</v>
      </c>
      <c r="D28" s="119" t="str">
        <f ca="1">ORÇAMENTO!O28</f>
        <v>2.1.</v>
      </c>
      <c r="E28" s="172" t="str">
        <f>ORÇAMENTO.Descricao</f>
        <v>SAPATA ISOLADA</v>
      </c>
      <c r="F28" s="173" t="str">
        <f ca="1">IF(RegimeExecucao="Global","",ORÇAMENTO.Unidade)</f>
        <v>-</v>
      </c>
      <c r="G28" s="124">
        <f ca="1">IF(RegimeExecucao="Global","",ORÇAMENTO!T28)</f>
        <v>0</v>
      </c>
      <c r="H28" s="124">
        <f ca="1">IF(RegimeExecucao="Global","",ORÇAMENTO!W28)</f>
        <v>0</v>
      </c>
      <c r="I28" s="127">
        <f ca="1">ORÇAMENTO!X28</f>
        <v>12539.72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ca="1">L28-J28</f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ca="1">O28-M28</f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ca="1">IF($W28&gt;0,$D28,"")</f>
        <v/>
      </c>
      <c r="U28" s="172" t="str">
        <f ca="1">IF($W28&gt;0,$E28,"")</f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ca="1">AO28-O28</f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63.75" x14ac:dyDescent="0.2">
      <c r="A29" t="str">
        <f ca="1">ORÇAMENTO!C29</f>
        <v>S</v>
      </c>
      <c r="B29">
        <f ca="1">ORÇAMENTO!D29</f>
        <v>0</v>
      </c>
      <c r="C29" s="116" t="str">
        <f t="shared" ca="1" si="1"/>
        <v>F</v>
      </c>
      <c r="D29" s="119" t="str">
        <f ca="1">ORÇAMENTO!O29</f>
        <v>2.1.1.</v>
      </c>
      <c r="E29" s="172" t="str">
        <f t="shared" ca="1" si="2"/>
        <v>ESCAVAÇÃO MECANIZADA DE VALA COM PROF. ATÉ 1,5 M (MÉDIA MONTANTE E JUSANTE/UMA COMPOSIÇÃO POR TRECHO), RETROESCAV. (0,26 M3), LARG. MENOR QUE 0,8 M, EM SOLO DE 1A CATEGORIA, EM LOCAIS COM ALTO NÍVEL DE INTERFERÊNCIA. AF_09/2024</v>
      </c>
      <c r="F29" s="173" t="str">
        <f ca="1">IF(RegimeExecucao="Global","",ORÇAMENTO.Unidade)</f>
        <v>M3</v>
      </c>
      <c r="G29" s="124">
        <f ca="1">IF(RegimeExecucao="Global","",ORÇAMENTO!T29)</f>
        <v>24.3</v>
      </c>
      <c r="H29" s="124">
        <f ca="1">IF(RegimeExecucao="Global","",ORÇAMENTO!W29)</f>
        <v>20.3</v>
      </c>
      <c r="I29" s="127">
        <f ca="1">ORÇAMENTO!X29</f>
        <v>493.29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25.5" x14ac:dyDescent="0.2">
      <c r="A30" t="str">
        <f ca="1">ORÇAMENTO!C30</f>
        <v>S</v>
      </c>
      <c r="B30">
        <f ca="1">ORÇAMENTO!D30</f>
        <v>0</v>
      </c>
      <c r="C30" s="116" t="str">
        <f t="shared" ca="1" si="1"/>
        <v>F</v>
      </c>
      <c r="D30" s="119" t="str">
        <f ca="1">ORÇAMENTO!O30</f>
        <v>2.1.2.</v>
      </c>
      <c r="E30" s="172" t="str">
        <f t="shared" ca="1" si="2"/>
        <v>CONCRETAGEM DE SAPATA, FCK 30 MPA, COM USO DE BOMBA - LANÇAMENTO, ADENSAMENTO E ACABAMENTO. AF_01/2024</v>
      </c>
      <c r="F30" s="173" t="str">
        <f ca="1">IF(RegimeExecucao="Global","",ORÇAMENTO.Unidade)</f>
        <v>M3</v>
      </c>
      <c r="G30" s="124">
        <f ca="1">IF(RegimeExecucao="Global","",ORÇAMENTO!T30)</f>
        <v>5.76</v>
      </c>
      <c r="H30" s="124">
        <f ca="1">IF(RegimeExecucao="Global","",ORÇAMENTO!W30)</f>
        <v>1129.2</v>
      </c>
      <c r="I30" s="127">
        <f ca="1">ORÇAMENTO!X30</f>
        <v>6504.19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t="shared" ca="1" si="3"/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t="shared" ca="1" si="4"/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t="shared" ca="1" si="5"/>
        <v/>
      </c>
      <c r="U30" s="172" t="str">
        <f t="shared" ca="1" si="6"/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t="shared" ca="1" si="7"/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25.5" x14ac:dyDescent="0.2">
      <c r="A31" t="str">
        <f ca="1">ORÇAMENTO!C31</f>
        <v>S</v>
      </c>
      <c r="B31">
        <f ca="1">ORÇAMENTO!D31</f>
        <v>0</v>
      </c>
      <c r="C31" s="116" t="str">
        <f t="shared" ca="1" si="1"/>
        <v>F</v>
      </c>
      <c r="D31" s="119" t="str">
        <f ca="1">ORÇAMENTO!O31</f>
        <v>2.1.3.</v>
      </c>
      <c r="E31" s="172" t="str">
        <f t="shared" ca="1" si="2"/>
        <v>ARMAÇÃO DE BLOCO UTILIZANDO AÇO CA-50 DE 10 MM - MONTAGEM. AF_01/2024</v>
      </c>
      <c r="F31" s="173" t="str">
        <f ca="1">IF(RegimeExecucao="Global","",ORÇAMENTO.Unidade)</f>
        <v>KG</v>
      </c>
      <c r="G31" s="124">
        <f ca="1">IF(RegimeExecucao="Global","",ORÇAMENTO!T31)</f>
        <v>266.5</v>
      </c>
      <c r="H31" s="124">
        <f ca="1">IF(RegimeExecucao="Global","",ORÇAMENTO!W31)</f>
        <v>17.989999999999998</v>
      </c>
      <c r="I31" s="127">
        <f ca="1">ORÇAMENTO!X31</f>
        <v>4794.34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25.5" x14ac:dyDescent="0.2">
      <c r="A32" t="str">
        <f ca="1">ORÇAMENTO!C32</f>
        <v>S</v>
      </c>
      <c r="B32">
        <f ca="1">ORÇAMENTO!D32</f>
        <v>0</v>
      </c>
      <c r="C32" s="116" t="str">
        <f t="shared" ca="1" si="1"/>
        <v>F</v>
      </c>
      <c r="D32" s="119" t="str">
        <f ca="1">ORÇAMENTO!O32</f>
        <v>2.1.4.</v>
      </c>
      <c r="E32" s="172" t="str">
        <f t="shared" ca="1" si="2"/>
        <v>REATERRO MANUAL DE VALAS, COM COMPACTADOR DE SOLOS DE PERCUSSÃO. AF_08/2023</v>
      </c>
      <c r="F32" s="173" t="str">
        <f ca="1">IF(RegimeExecucao="Global","",ORÇAMENTO.Unidade)</f>
        <v>M3</v>
      </c>
      <c r="G32" s="124">
        <f ca="1">IF(RegimeExecucao="Global","",ORÇAMENTO!T32)</f>
        <v>18.54</v>
      </c>
      <c r="H32" s="124">
        <f ca="1">IF(RegimeExecucao="Global","",ORÇAMENTO!W32)</f>
        <v>40.340000000000003</v>
      </c>
      <c r="I32" s="127">
        <f ca="1">ORÇAMENTO!X32</f>
        <v>747.9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x14ac:dyDescent="0.2">
      <c r="A33">
        <f ca="1">ORÇAMENTO!C33</f>
        <v>2</v>
      </c>
      <c r="B33">
        <f ca="1">ORÇAMENTO!D33</f>
        <v>7</v>
      </c>
      <c r="C33" s="116" t="str">
        <f t="shared" ca="1" si="1"/>
        <v>F</v>
      </c>
      <c r="D33" s="119" t="str">
        <f ca="1">ORÇAMENTO!O33</f>
        <v>2.2.</v>
      </c>
      <c r="E33" s="172" t="str">
        <f t="shared" si="2"/>
        <v>VIGA BALDRAME</v>
      </c>
      <c r="F33" s="173" t="str">
        <f ca="1">IF(RegimeExecucao="Global","",ORÇAMENTO.Unidade)</f>
        <v>-</v>
      </c>
      <c r="G33" s="124">
        <f ca="1">IF(RegimeExecucao="Global","",ORÇAMENTO!T33)</f>
        <v>0</v>
      </c>
      <c r="H33" s="124">
        <f ca="1">IF(RegimeExecucao="Global","",ORÇAMENTO!W33)</f>
        <v>0</v>
      </c>
      <c r="I33" s="127">
        <f ca="1">ORÇAMENTO!X33</f>
        <v>17011.82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t="shared" ca="1" si="3"/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t="shared" ca="1" si="4"/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t="shared" ca="1" si="5"/>
        <v/>
      </c>
      <c r="U33" s="172" t="str">
        <f t="shared" ca="1" si="6"/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t="shared" ca="1" si="7"/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63.75" x14ac:dyDescent="0.2">
      <c r="A34" t="str">
        <f ca="1">ORÇAMENTO!C34</f>
        <v>S</v>
      </c>
      <c r="B34">
        <f ca="1">ORÇAMENTO!D34</f>
        <v>0</v>
      </c>
      <c r="C34" s="116" t="str">
        <f t="shared" ca="1" si="1"/>
        <v>F</v>
      </c>
      <c r="D34" s="119" t="str">
        <f ca="1">ORÇAMENTO!O34</f>
        <v>2.2.1.</v>
      </c>
      <c r="E34" s="172" t="str">
        <f t="shared" ca="1" si="2"/>
        <v>ESCAVAÇÃO MECANIZADA DE VALA COM PROF. ATÉ 1,5 M (MÉDIA MONTANTE E JUSANTE/UMA COMPOSIÇÃO POR TRECHO), RETROESCAV. (0,26 M3), LARG. MENOR QUE 0,8 M, EM SOLO DE 1A CATEGORIA, EM LOCAIS COM ALTO NÍVEL DE INTERFERÊNCIA. AF_09/2024</v>
      </c>
      <c r="F34" s="173" t="str">
        <f ca="1">IF(RegimeExecucao="Global","",ORÇAMENTO.Unidade)</f>
        <v>M3</v>
      </c>
      <c r="G34" s="124">
        <f ca="1">IF(RegimeExecucao="Global","",ORÇAMENTO!T34)</f>
        <v>5.5</v>
      </c>
      <c r="H34" s="124">
        <f ca="1">IF(RegimeExecucao="Global","",ORÇAMENTO!W34)</f>
        <v>20.3</v>
      </c>
      <c r="I34" s="127">
        <f ca="1">ORÇAMENTO!X34</f>
        <v>111.65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38.25" x14ac:dyDescent="0.2">
      <c r="A35" t="str">
        <f ca="1">ORÇAMENTO!C35</f>
        <v>S</v>
      </c>
      <c r="B35">
        <f ca="1">ORÇAMENTO!D35</f>
        <v>0</v>
      </c>
      <c r="C35" s="116" t="str">
        <f t="shared" ca="1" si="1"/>
        <v>F</v>
      </c>
      <c r="D35" s="119" t="str">
        <f ca="1">ORÇAMENTO!O35</f>
        <v>2.2.2.</v>
      </c>
      <c r="E35" s="172" t="str">
        <f t="shared" ca="1" si="2"/>
        <v>CONCRETAGEM DE BLOCO DE COROAMENTO OU VIGA BALDRAME, FCK 30 MPA, COM USO DE BOMBA - LANÇAMENTO, ADENSAMENTO E ACABAMENTO. AF_01/2024</v>
      </c>
      <c r="F35" s="173" t="str">
        <f ca="1">IF(RegimeExecucao="Global","",ORÇAMENTO.Unidade)</f>
        <v>M3</v>
      </c>
      <c r="G35" s="124">
        <f ca="1">IF(RegimeExecucao="Global","",ORÇAMENTO!T35)</f>
        <v>5.5</v>
      </c>
      <c r="H35" s="124">
        <f ca="1">IF(RegimeExecucao="Global","",ORÇAMENTO!W35)</f>
        <v>1079.08</v>
      </c>
      <c r="I35" s="127">
        <f ca="1">ORÇAMENTO!X35</f>
        <v>5934.94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t="shared" ca="1" si="3"/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t="shared" ca="1" si="4"/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t="shared" ca="1" si="5"/>
        <v/>
      </c>
      <c r="U35" s="172" t="str">
        <f t="shared" ca="1" si="6"/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t="shared" ca="1" si="7"/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25.5" x14ac:dyDescent="0.2">
      <c r="A36" t="str">
        <f ca="1">ORÇAMENTO!C36</f>
        <v>S</v>
      </c>
      <c r="B36">
        <f ca="1">ORÇAMENTO!D36</f>
        <v>0</v>
      </c>
      <c r="C36" s="116" t="str">
        <f t="shared" ca="1" si="1"/>
        <v>F</v>
      </c>
      <c r="D36" s="119" t="str">
        <f ca="1">ORÇAMENTO!O36</f>
        <v>2.2.3.</v>
      </c>
      <c r="E36" s="172" t="str">
        <f t="shared" ca="1" si="2"/>
        <v>ARMAÇÃO DE BLOCO UTILIZANDO AÇO CA-50 DE 10 MM - MONTAGEM. AF_01/2024</v>
      </c>
      <c r="F36" s="173" t="str">
        <f ca="1">IF(RegimeExecucao="Global","",ORÇAMENTO.Unidade)</f>
        <v>KG</v>
      </c>
      <c r="G36" s="124">
        <f ca="1">IF(RegimeExecucao="Global","",ORÇAMENTO!T36)</f>
        <v>301.7</v>
      </c>
      <c r="H36" s="124">
        <f ca="1">IF(RegimeExecucao="Global","",ORÇAMENTO!W36)</f>
        <v>17.989999999999998</v>
      </c>
      <c r="I36" s="127">
        <f ca="1">ORÇAMENTO!X36</f>
        <v>5427.58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t="shared" ca="1" si="3"/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t="shared" ca="1" si="4"/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t="shared" ca="1" si="5"/>
        <v/>
      </c>
      <c r="U36" s="172" t="str">
        <f t="shared" ca="1" si="6"/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t="shared" ca="1" si="7"/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25.5" x14ac:dyDescent="0.2">
      <c r="A37" t="str">
        <f ca="1">ORÇAMENTO!C37</f>
        <v>S</v>
      </c>
      <c r="B37">
        <f ca="1">ORÇAMENTO!D37</f>
        <v>0</v>
      </c>
      <c r="C37" s="116" t="str">
        <f t="shared" ca="1" si="1"/>
        <v>F</v>
      </c>
      <c r="D37" s="119" t="str">
        <f ca="1">ORÇAMENTO!O37</f>
        <v>2.2.4.</v>
      </c>
      <c r="E37" s="172" t="str">
        <f t="shared" ca="1" si="2"/>
        <v>ARMAÇÃO DE BLOCO UTILIZANDO AÇO CA-60 DE 5 MM - MONTAGEM. AF_01/2024</v>
      </c>
      <c r="F37" s="173" t="str">
        <f ca="1">IF(RegimeExecucao="Global","",ORÇAMENTO.Unidade)</f>
        <v>KG</v>
      </c>
      <c r="G37" s="124">
        <f ca="1">IF(RegimeExecucao="Global","",ORÇAMENTO!T37)</f>
        <v>141.37</v>
      </c>
      <c r="H37" s="124">
        <f ca="1">IF(RegimeExecucao="Global","",ORÇAMENTO!W37)</f>
        <v>27.93</v>
      </c>
      <c r="I37" s="127">
        <f ca="1">ORÇAMENTO!X37</f>
        <v>3948.46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t="shared" ca="1" si="3"/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t="shared" ca="1" si="4"/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t="shared" ca="1" si="5"/>
        <v/>
      </c>
      <c r="U37" s="172" t="str">
        <f t="shared" ca="1" si="6"/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t="shared" ca="1" si="7"/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38.25" x14ac:dyDescent="0.2">
      <c r="A38" t="str">
        <f ca="1">ORÇAMENTO!C38</f>
        <v>S</v>
      </c>
      <c r="B38">
        <f ca="1">ORÇAMENTO!D38</f>
        <v>0</v>
      </c>
      <c r="C38" s="116" t="str">
        <f ca="1">IF(OR($I38&gt;0,$A38=1,$A38=2,$A38=3,$A38=4),"F","")</f>
        <v>F</v>
      </c>
      <c r="D38" s="119" t="str">
        <f ca="1">ORÇAMENTO!O38</f>
        <v>2.2.5.</v>
      </c>
      <c r="E38" s="172" t="str">
        <f ca="1">ORÇAMENTO.Descricao</f>
        <v>CHAPA/PAINEL DE MADEIRA COMPENSADA PLASTIFICADA (MADEIRITE PLASTIFICADO) PARA FORMA DE CONCRETO, DE 2200 X 1100 MM, E = 6 MM</v>
      </c>
      <c r="F38" s="173" t="str">
        <f ca="1">IF(RegimeExecucao="Global","",ORÇAMENTO.Unidade)</f>
        <v>M2</v>
      </c>
      <c r="G38" s="124">
        <f ca="1">IF(RegimeExecucao="Global","",ORÇAMENTO!T38)</f>
        <v>18.8</v>
      </c>
      <c r="H38" s="124">
        <f ca="1">IF(RegimeExecucao="Global","",ORÇAMENTO!W38)</f>
        <v>45.76</v>
      </c>
      <c r="I38" s="127">
        <f ca="1">ORÇAMENTO!X38</f>
        <v>860.29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ca="1">L38-J38</f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ca="1">O38-M38</f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ca="1">IF($W38&gt;0,$D38,"")</f>
        <v/>
      </c>
      <c r="U38" s="172" t="str">
        <f ca="1">IF($W38&gt;0,$E38,"")</f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ca="1">AO38-O38</f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25.5" x14ac:dyDescent="0.2">
      <c r="A39" t="str">
        <f ca="1">ORÇAMENTO!C39</f>
        <v>S</v>
      </c>
      <c r="B39">
        <f ca="1">ORÇAMENTO!D39</f>
        <v>0</v>
      </c>
      <c r="C39" s="116" t="str">
        <f t="shared" ca="1" si="1"/>
        <v>F</v>
      </c>
      <c r="D39" s="119" t="str">
        <f ca="1">ORÇAMENTO!O39</f>
        <v>2.2.6.</v>
      </c>
      <c r="E39" s="172" t="str">
        <f t="shared" ca="1" si="2"/>
        <v>IMPERMEABILIZAÇÃO DE SUPERFÍCIE COM EMULSÃO ASFÁLTICA, 2 DEMÃOS. AF_09/2023</v>
      </c>
      <c r="F39" s="173" t="str">
        <f ca="1">IF(RegimeExecucao="Global","",ORÇAMENTO.Unidade)</f>
        <v>M2</v>
      </c>
      <c r="G39" s="124">
        <f ca="1">IF(RegimeExecucao="Global","",ORÇAMENTO!T39)</f>
        <v>12.12</v>
      </c>
      <c r="H39" s="124">
        <f ca="1">IF(RegimeExecucao="Global","",ORÇAMENTO!W39)</f>
        <v>60.14</v>
      </c>
      <c r="I39" s="127">
        <f ca="1">ORÇAMENTO!X39</f>
        <v>728.9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t="shared" ca="1" si="3"/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t="shared" ca="1" si="4"/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t="shared" ca="1" si="5"/>
        <v/>
      </c>
      <c r="U39" s="172" t="str">
        <f t="shared" ca="1" si="6"/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t="shared" ca="1" si="7"/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x14ac:dyDescent="0.2">
      <c r="A40">
        <f ca="1">ORÇAMENTO!C40</f>
        <v>1</v>
      </c>
      <c r="B40">
        <f ca="1">ORÇAMENTO!D40</f>
        <v>10</v>
      </c>
      <c r="C40" s="116" t="str">
        <f t="shared" ca="1" si="1"/>
        <v>F</v>
      </c>
      <c r="D40" s="119" t="str">
        <f ca="1">ORÇAMENTO!O40</f>
        <v>3.</v>
      </c>
      <c r="E40" s="172" t="str">
        <f t="shared" si="2"/>
        <v xml:space="preserve">SUPRAESTRUTURA </v>
      </c>
      <c r="F40" s="173" t="str">
        <f ca="1">IF(RegimeExecucao="Global","",ORÇAMENTO.Unidade)</f>
        <v>-</v>
      </c>
      <c r="G40" s="124">
        <f ca="1">IF(RegimeExecucao="Global","",ORÇAMENTO!T40)</f>
        <v>0</v>
      </c>
      <c r="H40" s="124">
        <f ca="1">IF(RegimeExecucao="Global","",ORÇAMENTO!W40)</f>
        <v>0</v>
      </c>
      <c r="I40" s="127">
        <f ca="1">ORÇAMENTO!X40</f>
        <v>29941.17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t="shared" ca="1" si="3"/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t="shared" ca="1" si="4"/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t="shared" ca="1" si="5"/>
        <v/>
      </c>
      <c r="U40" s="172" t="str">
        <f t="shared" ca="1" si="6"/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t="shared" ca="1" si="7"/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x14ac:dyDescent="0.2">
      <c r="A41">
        <f ca="1">ORÇAMENTO!C41</f>
        <v>2</v>
      </c>
      <c r="B41">
        <f ca="1">ORÇAMENTO!D41</f>
        <v>5</v>
      </c>
      <c r="C41" s="116" t="str">
        <f t="shared" ca="1" si="1"/>
        <v>F</v>
      </c>
      <c r="D41" s="119" t="str">
        <f ca="1">ORÇAMENTO!O41</f>
        <v>3.1.</v>
      </c>
      <c r="E41" s="172" t="str">
        <f t="shared" si="2"/>
        <v xml:space="preserve">PILARES </v>
      </c>
      <c r="F41" s="173" t="str">
        <f ca="1">IF(RegimeExecucao="Global","",ORÇAMENTO.Unidade)</f>
        <v>-</v>
      </c>
      <c r="G41" s="124">
        <f ca="1">IF(RegimeExecucao="Global","",ORÇAMENTO!T41)</f>
        <v>0</v>
      </c>
      <c r="H41" s="124">
        <f ca="1">IF(RegimeExecucao="Global","",ORÇAMENTO!W41)</f>
        <v>0</v>
      </c>
      <c r="I41" s="127">
        <f ca="1">ORÇAMENTO!X41</f>
        <v>16638.59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t="shared" ca="1" si="3"/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t="shared" ca="1" si="4"/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t="shared" ca="1" si="5"/>
        <v/>
      </c>
      <c r="U41" s="172" t="str">
        <f t="shared" ca="1" si="6"/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t="shared" ca="1" si="7"/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25.5" x14ac:dyDescent="0.2">
      <c r="A42" t="str">
        <f ca="1">ORÇAMENTO!C42</f>
        <v>S</v>
      </c>
      <c r="B42">
        <f ca="1">ORÇAMENTO!D42</f>
        <v>0</v>
      </c>
      <c r="C42" s="116" t="str">
        <f t="shared" ca="1" si="1"/>
        <v>F</v>
      </c>
      <c r="D42" s="119" t="str">
        <f ca="1">ORÇAMENTO!O42</f>
        <v>3.1.1.</v>
      </c>
      <c r="E42" s="172" t="str">
        <f t="shared" ca="1" si="2"/>
        <v>CONCRETAGEM DE PILARES, FCK = 25 MPA, COM USO DE BOMBA - LANÇAMENTO, ADENSAMENTO E ACABAMENTO. AF_02/2022_PS</v>
      </c>
      <c r="F42" s="173" t="str">
        <f ca="1">IF(RegimeExecucao="Global","",ORÇAMENTO.Unidade)</f>
        <v>M3</v>
      </c>
      <c r="G42" s="124">
        <f ca="1">IF(RegimeExecucao="Global","",ORÇAMENTO!T42)</f>
        <v>7.2</v>
      </c>
      <c r="H42" s="124">
        <f ca="1">IF(RegimeExecucao="Global","",ORÇAMENTO!W42)</f>
        <v>977.51</v>
      </c>
      <c r="I42" s="127">
        <f ca="1">ORÇAMENTO!X42</f>
        <v>7038.07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t="shared" ca="1" si="3"/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t="shared" ca="1" si="4"/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t="shared" ca="1" si="5"/>
        <v/>
      </c>
      <c r="U42" s="172" t="str">
        <f t="shared" ca="1" si="6"/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t="shared" ca="1" si="7"/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38.25" x14ac:dyDescent="0.2">
      <c r="A43" t="str">
        <f ca="1">ORÇAMENTO!C43</f>
        <v>S</v>
      </c>
      <c r="B43">
        <f ca="1">ORÇAMENTO!D43</f>
        <v>0</v>
      </c>
      <c r="C43" s="116" t="str">
        <f t="shared" ca="1" si="1"/>
        <v>F</v>
      </c>
      <c r="D43" s="119" t="str">
        <f ca="1">ORÇAMENTO!O43</f>
        <v>3.1.2.</v>
      </c>
      <c r="E43" s="172" t="str">
        <f t="shared" ca="1" si="2"/>
        <v>ARMAÇÃO DE PILAR OU VIGA DE ESTRUTURA CONVENCIONAL DE CONCRETO ARMADO UTILIZANDO AÇO CA-50 DE 10,0 MM - MONTAGEM. AF_06/2022</v>
      </c>
      <c r="F43" s="173" t="str">
        <f ca="1">IF(RegimeExecucao="Global","",ORÇAMENTO.Unidade)</f>
        <v>KG</v>
      </c>
      <c r="G43" s="124">
        <f ca="1">IF(RegimeExecucao="Global","",ORÇAMENTO!T43)</f>
        <v>296.2</v>
      </c>
      <c r="H43" s="124">
        <f ca="1">IF(RegimeExecucao="Global","",ORÇAMENTO!W43)</f>
        <v>13.15</v>
      </c>
      <c r="I43" s="127">
        <f ca="1">ORÇAMENTO!X43</f>
        <v>3895.03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5.5" x14ac:dyDescent="0.2">
      <c r="A44" t="str">
        <f ca="1">ORÇAMENTO!C44</f>
        <v>S</v>
      </c>
      <c r="B44">
        <f ca="1">ORÇAMENTO!D44</f>
        <v>0</v>
      </c>
      <c r="C44" s="116" t="str">
        <f t="shared" ca="1" si="1"/>
        <v>F</v>
      </c>
      <c r="D44" s="119" t="str">
        <f ca="1">ORÇAMENTO!O44</f>
        <v>3.1.3.</v>
      </c>
      <c r="E44" s="172" t="str">
        <f t="shared" ca="1" si="2"/>
        <v>ARMAÇÃO DE BLOCO UTILIZANDO AÇO CA-60 DE 5 MM - MONTAGEM. AF_01/2024</v>
      </c>
      <c r="F44" s="173" t="str">
        <f ca="1">IF(RegimeExecucao="Global","",ORÇAMENTO.Unidade)</f>
        <v>KG</v>
      </c>
      <c r="G44" s="124">
        <f ca="1">IF(RegimeExecucao="Global","",ORÇAMENTO!T44)</f>
        <v>177.9</v>
      </c>
      <c r="H44" s="124">
        <f ca="1">IF(RegimeExecucao="Global","",ORÇAMENTO!W44)</f>
        <v>27.93</v>
      </c>
      <c r="I44" s="127">
        <f ca="1">ORÇAMENTO!X44</f>
        <v>4968.75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t="shared" ca="1" si="3"/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t="shared" ca="1" si="4"/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t="shared" ca="1" si="5"/>
        <v/>
      </c>
      <c r="U44" s="172" t="str">
        <f t="shared" ca="1" si="6"/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t="shared" ca="1" si="7"/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38.25" x14ac:dyDescent="0.2">
      <c r="A45" t="str">
        <f ca="1">ORÇAMENTO!C45</f>
        <v>S</v>
      </c>
      <c r="B45">
        <f ca="1">ORÇAMENTO!D45</f>
        <v>0</v>
      </c>
      <c r="C45" s="116" t="str">
        <f t="shared" ca="1" si="1"/>
        <v>F</v>
      </c>
      <c r="D45" s="119" t="str">
        <f ca="1">ORÇAMENTO!O45</f>
        <v>3.1.4.</v>
      </c>
      <c r="E45" s="172" t="str">
        <f t="shared" ca="1" si="2"/>
        <v>CHAPA/PAINEL DE MADEIRA COMPENSADA PLASTIFICADA (MADEIRITE PLASTIFICADO) PARA FORMA DE CONCRETO, DE 2200 X 1100 MM, E = 6 MM</v>
      </c>
      <c r="F45" s="173" t="str">
        <f ca="1">IF(RegimeExecucao="Global","",ORÇAMENTO.Unidade)</f>
        <v>M2</v>
      </c>
      <c r="G45" s="124">
        <f ca="1">IF(RegimeExecucao="Global","",ORÇAMENTO!T45)</f>
        <v>16.100000000000001</v>
      </c>
      <c r="H45" s="124">
        <f ca="1">IF(RegimeExecucao="Global","",ORÇAMENTO!W45)</f>
        <v>45.76</v>
      </c>
      <c r="I45" s="127">
        <f ca="1">ORÇAMENTO!X45</f>
        <v>736.74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x14ac:dyDescent="0.2">
      <c r="A46">
        <f ca="1">ORÇAMENTO!C46</f>
        <v>2</v>
      </c>
      <c r="B46">
        <f ca="1">ORÇAMENTO!D46</f>
        <v>4</v>
      </c>
      <c r="C46" s="116" t="str">
        <f t="shared" ca="1" si="1"/>
        <v>F</v>
      </c>
      <c r="D46" s="119" t="str">
        <f ca="1">ORÇAMENTO!O46</f>
        <v>3.2.</v>
      </c>
      <c r="E46" s="172" t="str">
        <f t="shared" si="2"/>
        <v>VIGA CINTA</v>
      </c>
      <c r="F46" s="173" t="str">
        <f ca="1">IF(RegimeExecucao="Global","",ORÇAMENTO.Unidade)</f>
        <v>-</v>
      </c>
      <c r="G46" s="124">
        <f ca="1">IF(RegimeExecucao="Global","",ORÇAMENTO!T46)</f>
        <v>0</v>
      </c>
      <c r="H46" s="124">
        <f ca="1">IF(RegimeExecucao="Global","",ORÇAMENTO!W46)</f>
        <v>0</v>
      </c>
      <c r="I46" s="127">
        <f ca="1">ORÇAMENTO!X46</f>
        <v>13302.58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38.25" x14ac:dyDescent="0.2">
      <c r="A47" t="str">
        <f ca="1">ORÇAMENTO!C47</f>
        <v>S</v>
      </c>
      <c r="B47">
        <f ca="1">ORÇAMENTO!D47</f>
        <v>0</v>
      </c>
      <c r="C47" s="116" t="str">
        <f t="shared" ca="1" si="1"/>
        <v>F</v>
      </c>
      <c r="D47" s="119" t="str">
        <f ca="1">ORÇAMENTO!O47</f>
        <v>3.2.1.</v>
      </c>
      <c r="E47" s="172" t="str">
        <f t="shared" ca="1" si="2"/>
        <v>CONCRETAGEM DE VIGAS E LAJES, FCK=25 MPA, PARA LAJES MACIÇAS OU NERVURADAS COM USO DE BOMBA - LANÇAMENTO, ADENSAMENTO E ACABAMENTO. AF_02/2022_PS</v>
      </c>
      <c r="F47" s="173" t="str">
        <f ca="1">IF(RegimeExecucao="Global","",ORÇAMENTO.Unidade)</f>
        <v>M3</v>
      </c>
      <c r="G47" s="124">
        <f ca="1">IF(RegimeExecucao="Global","",ORÇAMENTO!T47)</f>
        <v>5.5</v>
      </c>
      <c r="H47" s="124">
        <f ca="1">IF(RegimeExecucao="Global","",ORÇAMENTO!W47)</f>
        <v>979.41</v>
      </c>
      <c r="I47" s="127">
        <f ca="1">ORÇAMENTO!X47</f>
        <v>5386.76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38.25" x14ac:dyDescent="0.2">
      <c r="A48" t="str">
        <f ca="1">ORÇAMENTO!C48</f>
        <v>S</v>
      </c>
      <c r="B48">
        <f ca="1">ORÇAMENTO!D48</f>
        <v>0</v>
      </c>
      <c r="C48" s="116" t="str">
        <f t="shared" ca="1" si="1"/>
        <v>F</v>
      </c>
      <c r="D48" s="119" t="str">
        <f ca="1">ORÇAMENTO!O48</f>
        <v>3.2.2.</v>
      </c>
      <c r="E48" s="172" t="str">
        <f t="shared" ca="1" si="2"/>
        <v>ARMAÇÃO DE PILAR OU VIGA DE ESTRUTURA CONVENCIONAL DE CONCRETO ARMADO UTILIZANDO AÇO CA-50 DE 10,0 MM - MONTAGEM. AF_06/2022</v>
      </c>
      <c r="F48" s="173" t="str">
        <f ca="1">IF(RegimeExecucao="Global","",ORÇAMENTO.Unidade)</f>
        <v>KG</v>
      </c>
      <c r="G48" s="124">
        <f ca="1">IF(RegimeExecucao="Global","",ORÇAMENTO!T48)</f>
        <v>301.7</v>
      </c>
      <c r="H48" s="124">
        <f ca="1">IF(RegimeExecucao="Global","",ORÇAMENTO!W48)</f>
        <v>13.15</v>
      </c>
      <c r="I48" s="127">
        <f ca="1">ORÇAMENTO!X48</f>
        <v>3967.36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t="shared" ca="1" si="3"/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t="shared" ca="1" si="4"/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t="shared" ca="1" si="5"/>
        <v/>
      </c>
      <c r="U48" s="172" t="str">
        <f t="shared" ca="1" si="6"/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t="shared" ca="1" si="7"/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25.5" x14ac:dyDescent="0.2">
      <c r="A49" t="str">
        <f ca="1">ORÇAMENTO!C49</f>
        <v>S</v>
      </c>
      <c r="B49">
        <f ca="1">ORÇAMENTO!D49</f>
        <v>0</v>
      </c>
      <c r="C49" s="116" t="str">
        <f t="shared" ca="1" si="1"/>
        <v>F</v>
      </c>
      <c r="D49" s="119" t="str">
        <f ca="1">ORÇAMENTO!O49</f>
        <v>3.2.3.</v>
      </c>
      <c r="E49" s="172" t="str">
        <f t="shared" ca="1" si="2"/>
        <v>ARMAÇÃO DE BLOCO UTILIZANDO AÇO CA-60 DE 5 MM - MONTAGEM. AF_01/2024</v>
      </c>
      <c r="F49" s="173" t="str">
        <f ca="1">IF(RegimeExecucao="Global","",ORÇAMENTO.Unidade)</f>
        <v>KG</v>
      </c>
      <c r="G49" s="124">
        <f ca="1">IF(RegimeExecucao="Global","",ORÇAMENTO!T49)</f>
        <v>141.37</v>
      </c>
      <c r="H49" s="124">
        <f ca="1">IF(RegimeExecucao="Global","",ORÇAMENTO!W49)</f>
        <v>27.93</v>
      </c>
      <c r="I49" s="127">
        <f ca="1">ORÇAMENTO!X49</f>
        <v>3948.46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x14ac:dyDescent="0.2">
      <c r="A50">
        <f ca="1">ORÇAMENTO!C50</f>
        <v>1</v>
      </c>
      <c r="B50">
        <f ca="1">ORÇAMENTO!D50</f>
        <v>20</v>
      </c>
      <c r="C50" s="116" t="str">
        <f ca="1">IF(OR($I50&gt;0,$A50=1,$A50=2,$A50=3,$A50=4),"F","")</f>
        <v>F</v>
      </c>
      <c r="D50" s="119" t="str">
        <f ca="1">ORÇAMENTO!O50</f>
        <v>4.</v>
      </c>
      <c r="E50" s="172" t="str">
        <f>ORÇAMENTO.Descricao</f>
        <v xml:space="preserve">PAREDES E REVESTIMENTOS </v>
      </c>
      <c r="F50" s="173" t="str">
        <f ca="1">IF(RegimeExecucao="Global","",ORÇAMENTO.Unidade)</f>
        <v>-</v>
      </c>
      <c r="G50" s="124">
        <f ca="1">IF(RegimeExecucao="Global","",ORÇAMENTO!T50)</f>
        <v>0</v>
      </c>
      <c r="H50" s="124">
        <f ca="1">IF(RegimeExecucao="Global","",ORÇAMENTO!W50)</f>
        <v>0</v>
      </c>
      <c r="I50" s="127">
        <f ca="1">ORÇAMENTO!X50</f>
        <v>104612.68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ca="1">L50-J50</f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ca="1">O50-M50</f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ca="1">IF($W50&gt;0,$D50,"")</f>
        <v/>
      </c>
      <c r="U50" s="172" t="str">
        <f ca="1">IF($W50&gt;0,$E50,"")</f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ca="1">AO50-O50</f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x14ac:dyDescent="0.2">
      <c r="A51">
        <f ca="1">ORÇAMENTO!C51</f>
        <v>2</v>
      </c>
      <c r="B51">
        <f ca="1">ORÇAMENTO!D51</f>
        <v>7</v>
      </c>
      <c r="C51" s="116" t="str">
        <f t="shared" ca="1" si="1"/>
        <v>F</v>
      </c>
      <c r="D51" s="119" t="str">
        <f ca="1">ORÇAMENTO!O51</f>
        <v>4.1.</v>
      </c>
      <c r="E51" s="172" t="str">
        <f t="shared" si="2"/>
        <v>ALVENARIA</v>
      </c>
      <c r="F51" s="173" t="str">
        <f ca="1">IF(RegimeExecucao="Global","",ORÇAMENTO.Unidade)</f>
        <v>-</v>
      </c>
      <c r="G51" s="124">
        <f ca="1">IF(RegimeExecucao="Global","",ORÇAMENTO!T51)</f>
        <v>0</v>
      </c>
      <c r="H51" s="124">
        <f ca="1">IF(RegimeExecucao="Global","",ORÇAMENTO!W51)</f>
        <v>0</v>
      </c>
      <c r="I51" s="127">
        <f ca="1">ORÇAMENTO!X51</f>
        <v>56906.65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ca="1" si="3"/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ca="1" si="4"/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ca="1" si="5"/>
        <v/>
      </c>
      <c r="U51" s="172" t="str">
        <f t="shared" ca="1" si="6"/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ca="1" si="7"/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51" x14ac:dyDescent="0.2">
      <c r="A52" t="str">
        <f ca="1">ORÇAMENTO!C52</f>
        <v>S</v>
      </c>
      <c r="B52">
        <f ca="1">ORÇAMENTO!D52</f>
        <v>0</v>
      </c>
      <c r="C52" s="116" t="str">
        <f t="shared" ca="1" si="1"/>
        <v>F</v>
      </c>
      <c r="D52" s="119" t="str">
        <f ca="1">ORÇAMENTO!O52</f>
        <v>4.1.1.</v>
      </c>
      <c r="E52" s="172" t="str">
        <f t="shared" ca="1" si="2"/>
        <v>ALVENARIA DE VEDAÇÃO DE BLOCOS CERÂMICOS FURADOS NA HORIZONTAL DE 11,5X19X39 CM (ESPESSURA 11,5 CM) E ARGAMASSA DE ASSENTAMENTO COM PREPARO EM BETONEIRA. AF_08/2026</v>
      </c>
      <c r="F52" s="173" t="str">
        <f ca="1">IF(RegimeExecucao="Global","",ORÇAMENTO.Unidade)</f>
        <v>M2</v>
      </c>
      <c r="G52" s="124">
        <f ca="1">IF(RegimeExecucao="Global","",ORÇAMENTO!T52)</f>
        <v>256.48</v>
      </c>
      <c r="H52" s="124">
        <f ca="1">IF(RegimeExecucao="Global","",ORÇAMENTO!W52)</f>
        <v>109.4</v>
      </c>
      <c r="I52" s="127">
        <f ca="1">ORÇAMENTO!X52</f>
        <v>28058.91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3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4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5"/>
        <v/>
      </c>
      <c r="U52" s="172" t="str">
        <f t="shared" ca="1" si="6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7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51" x14ac:dyDescent="0.2">
      <c r="A53" t="str">
        <f ca="1">ORÇAMENTO!C53</f>
        <v>S</v>
      </c>
      <c r="B53">
        <f ca="1">ORÇAMENTO!D53</f>
        <v>0</v>
      </c>
      <c r="C53" s="116" t="str">
        <f t="shared" ca="1" si="1"/>
        <v>F</v>
      </c>
      <c r="D53" s="119" t="str">
        <f ca="1">ORÇAMENTO!O53</f>
        <v>4.1.2.</v>
      </c>
      <c r="E53" s="172" t="str">
        <f t="shared" ca="1" si="2"/>
        <v>EMBOÇO OU MASSA ÚNICA EM ARGAMASSA TRAÇO 1:2:8, PREPARO MECÂNICO COM BETONEIRA 400 L, APLICADA MANUALMENTE EM PANOS CEGOS DE FACHADA (SEM PRESENÇA DE VÃOS), ESPESSURA DE 25 MM. AF_08/2022</v>
      </c>
      <c r="F53" s="173" t="str">
        <f ca="1">IF(RegimeExecucao="Global","",ORÇAMENTO.Unidade)</f>
        <v>M2</v>
      </c>
      <c r="G53" s="124">
        <f ca="1">IF(RegimeExecucao="Global","",ORÇAMENTO!T53)</f>
        <v>153.30000000000001</v>
      </c>
      <c r="H53" s="124">
        <f ca="1">IF(RegimeExecucao="Global","",ORÇAMENTO!W53)</f>
        <v>60.26</v>
      </c>
      <c r="I53" s="127">
        <f ca="1">ORÇAMENTO!X53</f>
        <v>9237.86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t="shared" ca="1" si="3"/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t="shared" ca="1" si="4"/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t="shared" ca="1" si="5"/>
        <v/>
      </c>
      <c r="U53" s="172" t="str">
        <f t="shared" ca="1" si="6"/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t="shared" ca="1" si="7"/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38.25" x14ac:dyDescent="0.2">
      <c r="A54" t="str">
        <f ca="1">ORÇAMENTO!C54</f>
        <v>S</v>
      </c>
      <c r="B54">
        <f ca="1">ORÇAMENTO!D54</f>
        <v>0</v>
      </c>
      <c r="C54" s="116" t="str">
        <f ca="1">IF(OR($I54&gt;0,$A54=1,$A54=2,$A54=3,$A54=4),"F","")</f>
        <v>F</v>
      </c>
      <c r="D54" s="119" t="str">
        <f ca="1">ORÇAMENTO!O54</f>
        <v>4.1.3.</v>
      </c>
      <c r="E54" s="172" t="str">
        <f t="shared" ref="E54:E69" ca="1" si="15">ORÇAMENTO.Descricao</f>
        <v>MASSA ÚNICA, EM ARGAMASSA TRAÇO 1:2:8 PREPARO MECÂNICO, APLICADA MANUALMENTE EM PAREDES INTERNAS DE AMBIENTES COM ÁREA MAIOR QUE 10M², E = 10MM, COM TALISCAS. AF_03/2024</v>
      </c>
      <c r="F54" s="173" t="str">
        <f ca="1">IF(RegimeExecucao="Global","",ORÇAMENTO.Unidade)</f>
        <v>M2</v>
      </c>
      <c r="G54" s="124">
        <f ca="1">IF(RegimeExecucao="Global","",ORÇAMENTO!T54)</f>
        <v>328.44</v>
      </c>
      <c r="H54" s="124">
        <f ca="1">IF(RegimeExecucao="Global","",ORÇAMENTO!W54)</f>
        <v>35.08</v>
      </c>
      <c r="I54" s="127">
        <f ca="1">ORÇAMENTO!X54</f>
        <v>11521.68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ca="1">L54-J54</f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ca="1">O54-M54</f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ca="1">IF($W54&gt;0,$D54,"")</f>
        <v/>
      </c>
      <c r="U54" s="172" t="str">
        <f ca="1">IF($W54&gt;0,$E54,"")</f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ca="1">AO54-O54</f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25.5" x14ac:dyDescent="0.2">
      <c r="A55" t="str">
        <f ca="1">ORÇAMENTO!C55</f>
        <v>S</v>
      </c>
      <c r="B55">
        <f ca="1">ORÇAMENTO!D55</f>
        <v>0</v>
      </c>
      <c r="C55" s="116" t="str">
        <f t="shared" ref="C55:C57" ca="1" si="16">IF(OR($I55&gt;0,$A55=1,$A55=2,$A55=3,$A55=4),"F","")</f>
        <v>F</v>
      </c>
      <c r="D55" s="119" t="str">
        <f ca="1">ORÇAMENTO!O55</f>
        <v>4.1.4.</v>
      </c>
      <c r="E55" s="172" t="str">
        <f t="shared" ca="1" si="15"/>
        <v>CONTRAVERGA MOLDADA IN LOCO EM CONCRETO, ESPESSURA DE *15* CM. AF_03/2024</v>
      </c>
      <c r="F55" s="173" t="str">
        <f ca="1">IF(RegimeExecucao="Global","",ORÇAMENTO.Unidade)</f>
        <v>M</v>
      </c>
      <c r="G55" s="124">
        <f ca="1">IF(RegimeExecucao="Global","",ORÇAMENTO!T55)</f>
        <v>25.8</v>
      </c>
      <c r="H55" s="124">
        <f ca="1">IF(RegimeExecucao="Global","",ORÇAMENTO!W55)</f>
        <v>79.91</v>
      </c>
      <c r="I55" s="127">
        <f ca="1">ORÇAMENTO!X55</f>
        <v>2061.6799999999998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ref="K55:K57" ca="1" si="17">L55-J55</f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ref="N55:N57" ca="1" si="18">O55-M55</f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ref="T55:T57" ca="1" si="19">IF($W55&gt;0,$D55,"")</f>
        <v/>
      </c>
      <c r="U55" s="172" t="str">
        <f t="shared" ref="U55:U57" ca="1" si="20">IF($W55&gt;0,$E55,"")</f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ref="Y55:Y57" ca="1" si="21">AO55-O55</f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25.5" x14ac:dyDescent="0.2">
      <c r="A56" t="str">
        <f ca="1">ORÇAMENTO!C56</f>
        <v>S</v>
      </c>
      <c r="B56">
        <f ca="1">ORÇAMENTO!D56</f>
        <v>0</v>
      </c>
      <c r="C56" s="116" t="str">
        <f t="shared" ca="1" si="16"/>
        <v>F</v>
      </c>
      <c r="D56" s="119" t="str">
        <f ca="1">ORÇAMENTO!O56</f>
        <v>4.1.5.</v>
      </c>
      <c r="E56" s="172" t="str">
        <f t="shared" ca="1" si="15"/>
        <v>VERGA MOLDADA IN LOCO EM CONCRETO, ESPESSURA DE *15* CM. AF_03/2024</v>
      </c>
      <c r="F56" s="173" t="str">
        <f ca="1">IF(RegimeExecucao="Global","",ORÇAMENTO.Unidade)</f>
        <v>M</v>
      </c>
      <c r="G56" s="124">
        <f ca="1">IF(RegimeExecucao="Global","",ORÇAMENTO!T56)</f>
        <v>13</v>
      </c>
      <c r="H56" s="124">
        <f ca="1">IF(RegimeExecucao="Global","",ORÇAMENTO!W56)</f>
        <v>106.35</v>
      </c>
      <c r="I56" s="127">
        <f ca="1">ORÇAMENTO!X56</f>
        <v>1382.55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17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18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19"/>
        <v/>
      </c>
      <c r="U56" s="172" t="str">
        <f t="shared" ca="1" si="20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21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51" x14ac:dyDescent="0.2">
      <c r="A57" t="str">
        <f ca="1">ORÇAMENTO!C57</f>
        <v>S</v>
      </c>
      <c r="B57">
        <f ca="1">ORÇAMENTO!D57</f>
        <v>0</v>
      </c>
      <c r="C57" s="116" t="str">
        <f t="shared" ca="1" si="16"/>
        <v>F</v>
      </c>
      <c r="D57" s="119" t="str">
        <f ca="1">ORÇAMENTO!O57</f>
        <v>4.1.6.</v>
      </c>
      <c r="E57" s="172" t="str">
        <f t="shared" ca="1" si="15"/>
        <v>CHAPISCO APLICADO EM ALVENARIA (COM PRESENÇA DE VÃOS) E ESTRUTURAS DE CONCRETO DE FACHADA, COM EQUIPAMENTO DE PROJEÇÃO. ARGAMASSA TRAÇO 1:3 COM PREPARO EM BETONEIRA 400 L. AF_10/2022</v>
      </c>
      <c r="F57" s="173" t="str">
        <f ca="1">IF(RegimeExecucao="Global","",ORÇAMENTO.Unidade)</f>
        <v>M2</v>
      </c>
      <c r="G57" s="124">
        <f ca="1">IF(RegimeExecucao="Global","",ORÇAMENTO!T57)</f>
        <v>481.74</v>
      </c>
      <c r="H57" s="124">
        <f ca="1">IF(RegimeExecucao="Global","",ORÇAMENTO!W57)</f>
        <v>9.64</v>
      </c>
      <c r="I57" s="127">
        <f ca="1">ORÇAMENTO!X57</f>
        <v>4643.97</v>
      </c>
      <c r="J57" s="378">
        <f ca="1">IF($A57="S",IF(CAIXA.Modo,BM.AFAnterior,BM.MEDAnterior),IF(AND(RegimeExecucao="Global",$I57&gt;0,COUNTIF($AB$13:$AM$13,BM.medicao-1)&gt;0),M57/$I57*100,0))</f>
        <v>0</v>
      </c>
      <c r="K57" s="124">
        <f t="shared" ca="1" si="17"/>
        <v>0</v>
      </c>
      <c r="L57" s="379">
        <f ca="1">IF($A57="S",IF(CAIXA.Modo,BM.AFAcumulado,BM.MEDAcumulado),IF(AND(RegimeExecucao="Global",$I57&gt;0,COUNTIF($AB$13:$AM$13,BM.medicao)&gt;0),O57/$I57*100,0))</f>
        <v>0</v>
      </c>
      <c r="M57" s="380">
        <f ca="1">IF($A57="S",VTOTALBM,IF($A57=0,0,ROUND(SomaAgrupBM,15-13*ORÇAMENTO!$AF$11)))</f>
        <v>0</v>
      </c>
      <c r="N57" s="381">
        <f t="shared" ca="1" si="18"/>
        <v>0</v>
      </c>
      <c r="O57" s="127">
        <f ca="1">IF($A57="S",VTOTALBM,IF($A57=0,0,ROUND(SomaAgrupBM,15-13*ORÇAMENTO!$AF$11)))</f>
        <v>0</v>
      </c>
      <c r="Q57" s="382"/>
      <c r="R57" s="383"/>
      <c r="T57" s="119" t="str">
        <f t="shared" ca="1" si="19"/>
        <v/>
      </c>
      <c r="U57" s="172" t="str">
        <f t="shared" ca="1" si="20"/>
        <v/>
      </c>
      <c r="V57" s="173" t="str">
        <f ca="1">IF(AND($W57&gt;0,RegimeExecucao="Unitário"),$F57,"")</f>
        <v/>
      </c>
      <c r="W57" s="547">
        <f ca="1">IF($Y57&gt;0,CHOOSE(MATCH(RegimeExecucao,{"Unitário","Global"},0),IF($A57="S",$Y57/$X57,""),($Y57/$X57)*100),0)</f>
        <v>0</v>
      </c>
      <c r="X57" s="384" t="str">
        <f ca="1">IF($Y57&gt;0,CHOOSE(MATCH(RegimeExecucao,{"Unitário","Global"},0),IF($A57="S",ROUND($H57,ORÇAMENTO!$AF$10),""),ROUND($I57,ORÇAMENTO!$AF$11)),"")</f>
        <v/>
      </c>
      <c r="Y57" s="384">
        <f t="shared" ca="1" si="21"/>
        <v>0</v>
      </c>
      <c r="Z57" s="572"/>
      <c r="AB57" s="382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383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x14ac:dyDescent="0.2">
      <c r="A58">
        <f ca="1">ORÇAMENTO!C58</f>
        <v>2</v>
      </c>
      <c r="B58">
        <f ca="1">ORÇAMENTO!D58</f>
        <v>4</v>
      </c>
      <c r="C58" s="116" t="str">
        <f t="shared" ref="C58:C64" ca="1" si="22">IF(OR($I58&gt;0,$A58=1,$A58=2,$A58=3,$A58=4),"F","")</f>
        <v>F</v>
      </c>
      <c r="D58" s="119" t="str">
        <f ca="1">ORÇAMENTO!O58</f>
        <v>4.2.</v>
      </c>
      <c r="E58" s="172" t="str">
        <f>ORÇAMENTO.Descricao</f>
        <v>REVESTIMENTOS</v>
      </c>
      <c r="F58" s="173" t="str">
        <f ca="1">IF(RegimeExecucao="Global","",ORÇAMENTO.Unidade)</f>
        <v>-</v>
      </c>
      <c r="G58" s="124">
        <f ca="1">IF(RegimeExecucao="Global","",ORÇAMENTO!T58)</f>
        <v>0</v>
      </c>
      <c r="H58" s="124">
        <f ca="1">IF(RegimeExecucao="Global","",ORÇAMENTO!W58)</f>
        <v>0</v>
      </c>
      <c r="I58" s="127">
        <f ca="1">ORÇAMENTO!X58</f>
        <v>16008.71</v>
      </c>
      <c r="J58" s="378">
        <f ca="1">IF($A58="S",IF(CAIXA.Modo,BM.AFAnterior,BM.MEDAnterior),IF(AND(RegimeExecucao="Global",$I58&gt;0,COUNTIF($AB$13:$AM$13,BM.medicao-1)&gt;0),M58/$I58*100,0))</f>
        <v>0</v>
      </c>
      <c r="K58" s="124">
        <f t="shared" ref="K58:K64" ca="1" si="23">L58-J58</f>
        <v>0</v>
      </c>
      <c r="L58" s="379">
        <f ca="1">IF($A58="S",IF(CAIXA.Modo,BM.AFAcumulado,BM.MEDAcumulado),IF(AND(RegimeExecucao="Global",$I58&gt;0,COUNTIF($AB$13:$AM$13,BM.medicao)&gt;0),O58/$I58*100,0))</f>
        <v>0</v>
      </c>
      <c r="M58" s="380">
        <f ca="1">IF($A58="S",VTOTALBM,IF($A58=0,0,ROUND(SomaAgrupBM,15-13*ORÇAMENTO!$AF$11)))</f>
        <v>0</v>
      </c>
      <c r="N58" s="381">
        <f t="shared" ref="N58:N64" ca="1" si="24">O58-M58</f>
        <v>0</v>
      </c>
      <c r="O58" s="127">
        <f ca="1">IF($A58="S",VTOTALBM,IF($A58=0,0,ROUND(SomaAgrupBM,15-13*ORÇAMENTO!$AF$11)))</f>
        <v>0</v>
      </c>
      <c r="Q58" s="382"/>
      <c r="R58" s="383"/>
      <c r="T58" s="119" t="str">
        <f t="shared" ref="T58:T64" ca="1" si="25">IF($W58&gt;0,$D58,"")</f>
        <v/>
      </c>
      <c r="U58" s="172" t="str">
        <f t="shared" ref="U58:U64" ca="1" si="26">IF($W58&gt;0,$E58,"")</f>
        <v/>
      </c>
      <c r="V58" s="173" t="str">
        <f ca="1">IF(AND($W58&gt;0,RegimeExecucao="Unitário"),$F58,"")</f>
        <v/>
      </c>
      <c r="W58" s="547">
        <f ca="1">IF($Y58&gt;0,CHOOSE(MATCH(RegimeExecucao,{"Unitário","Global"},0),IF($A58="S",$Y58/$X58,""),($Y58/$X58)*100),0)</f>
        <v>0</v>
      </c>
      <c r="X58" s="384" t="str">
        <f ca="1">IF($Y58&gt;0,CHOOSE(MATCH(RegimeExecucao,{"Unitário","Global"},0),IF($A58="S",ROUND($H58,ORÇAMENTO!$AF$10),""),ROUND($I58,ORÇAMENTO!$AF$11)),"")</f>
        <v/>
      </c>
      <c r="Y58" s="384">
        <f t="shared" ref="Y58:Y64" ca="1" si="27">AO58-O58</f>
        <v>0</v>
      </c>
      <c r="Z58" s="572"/>
      <c r="AB58" s="382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383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ht="38.25" x14ac:dyDescent="0.2">
      <c r="A59" t="str">
        <f ca="1">ORÇAMENTO!C59</f>
        <v>S</v>
      </c>
      <c r="B59">
        <f ca="1">ORÇAMENTO!D59</f>
        <v>0</v>
      </c>
      <c r="C59" s="116" t="str">
        <f t="shared" ca="1" si="22"/>
        <v>F</v>
      </c>
      <c r="D59" s="119" t="str">
        <f ca="1">ORÇAMENTO!O59</f>
        <v>4.2.1.</v>
      </c>
      <c r="E59" s="172" t="str">
        <f ca="1">ORÇAMENTO.Descricao</f>
        <v>REVESTIMENTO CERÂMICO PARA PAREDES INTERNAS COM PLACAS TIPO ESMALTADA DE DIMENSÕES 33X45 CM APLICADAS NA ALTURA INTEIRA DAS PAREDES. AF_02/2023_PE</v>
      </c>
      <c r="F59" s="173" t="str">
        <f ca="1">IF(RegimeExecucao="Global","",ORÇAMENTO.Unidade)</f>
        <v>M2</v>
      </c>
      <c r="G59" s="124">
        <f ca="1">IF(RegimeExecucao="Global","",ORÇAMENTO!T59)</f>
        <v>28</v>
      </c>
      <c r="H59" s="124">
        <f ca="1">IF(RegimeExecucao="Global","",ORÇAMENTO!W59)</f>
        <v>85.99</v>
      </c>
      <c r="I59" s="127">
        <f ca="1">ORÇAMENTO!X59</f>
        <v>2407.7199999999998</v>
      </c>
      <c r="J59" s="378">
        <f ca="1">IF($A59="S",IF(CAIXA.Modo,BM.AFAnterior,BM.MEDAnterior),IF(AND(RegimeExecucao="Global",$I59&gt;0,COUNTIF($AB$13:$AM$13,BM.medicao-1)&gt;0),M59/$I59*100,0))</f>
        <v>0</v>
      </c>
      <c r="K59" s="124">
        <f t="shared" ca="1" si="23"/>
        <v>0</v>
      </c>
      <c r="L59" s="379">
        <f ca="1">IF($A59="S",IF(CAIXA.Modo,BM.AFAcumulado,BM.MEDAcumulado),IF(AND(RegimeExecucao="Global",$I59&gt;0,COUNTIF($AB$13:$AM$13,BM.medicao)&gt;0),O59/$I59*100,0))</f>
        <v>0</v>
      </c>
      <c r="M59" s="380">
        <f ca="1">IF($A59="S",VTOTALBM,IF($A59=0,0,ROUND(SomaAgrupBM,15-13*ORÇAMENTO!$AF$11)))</f>
        <v>0</v>
      </c>
      <c r="N59" s="381">
        <f t="shared" ca="1" si="24"/>
        <v>0</v>
      </c>
      <c r="O59" s="127">
        <f ca="1">IF($A59="S",VTOTALBM,IF($A59=0,0,ROUND(SomaAgrupBM,15-13*ORÇAMENTO!$AF$11)))</f>
        <v>0</v>
      </c>
      <c r="Q59" s="382"/>
      <c r="R59" s="383"/>
      <c r="T59" s="119" t="str">
        <f t="shared" ca="1" si="25"/>
        <v/>
      </c>
      <c r="U59" s="172" t="str">
        <f t="shared" ca="1" si="26"/>
        <v/>
      </c>
      <c r="V59" s="173" t="str">
        <f ca="1">IF(AND($W59&gt;0,RegimeExecucao="Unitário"),$F59,"")</f>
        <v/>
      </c>
      <c r="W59" s="547">
        <f ca="1">IF($Y59&gt;0,CHOOSE(MATCH(RegimeExecucao,{"Unitário","Global"},0),IF($A59="S",$Y59/$X59,""),($Y59/$X59)*100),0)</f>
        <v>0</v>
      </c>
      <c r="X59" s="384" t="str">
        <f ca="1">IF($Y59&gt;0,CHOOSE(MATCH(RegimeExecucao,{"Unitário","Global"},0),IF($A59="S",ROUND($H59,ORÇAMENTO!$AF$10),""),ROUND($I59,ORÇAMENTO!$AF$11)),"")</f>
        <v/>
      </c>
      <c r="Y59" s="384">
        <f t="shared" ca="1" si="27"/>
        <v>0</v>
      </c>
      <c r="Z59" s="572"/>
      <c r="AB59" s="382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383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ht="38.25" x14ac:dyDescent="0.2">
      <c r="A60" t="str">
        <f ca="1">ORÇAMENTO!C60</f>
        <v>S</v>
      </c>
      <c r="B60">
        <f ca="1">ORÇAMENTO!D60</f>
        <v>0</v>
      </c>
      <c r="C60" s="116" t="str">
        <f ca="1">IF(OR($I60&gt;0,$A60=1,$A60=2,$A60=3,$A60=4),"F","")</f>
        <v>F</v>
      </c>
      <c r="D60" s="119" t="str">
        <f ca="1">ORÇAMENTO!O60</f>
        <v>4.2.2.</v>
      </c>
      <c r="E60" s="172" t="str">
        <f ca="1">ORÇAMENTO.Descricao</f>
        <v>REVESTIMENTO CERÂMICO PARA PAREDES INTERNAS COM PLACAS TIPO ESMALTADA DE DIMENSÕES 33X45 CM APLICADAS A MEIA ALTURA DAS PAREDES. AF_02/2023_PE</v>
      </c>
      <c r="F60" s="173" t="str">
        <f ca="1">IF(RegimeExecucao="Global","",ORÇAMENTO.Unidade)</f>
        <v>M2</v>
      </c>
      <c r="G60" s="124">
        <f ca="1">IF(RegimeExecucao="Global","",ORÇAMENTO!T60)</f>
        <v>119.42</v>
      </c>
      <c r="H60" s="124">
        <f ca="1">IF(RegimeExecucao="Global","",ORÇAMENTO!W60)</f>
        <v>96.97</v>
      </c>
      <c r="I60" s="127">
        <f ca="1">ORÇAMENTO!X60</f>
        <v>11580.16</v>
      </c>
      <c r="J60" s="378">
        <f ca="1">IF($A60="S",IF(CAIXA.Modo,BM.AFAnterior,BM.MEDAnterior),IF(AND(RegimeExecucao="Global",$I60&gt;0,COUNTIF($AB$13:$AM$13,BM.medicao-1)&gt;0),M60/$I60*100,0))</f>
        <v>0</v>
      </c>
      <c r="K60" s="124">
        <f ca="1">L60-J60</f>
        <v>0</v>
      </c>
      <c r="L60" s="379">
        <f ca="1">IF($A60="S",IF(CAIXA.Modo,BM.AFAcumulado,BM.MEDAcumulado),IF(AND(RegimeExecucao="Global",$I60&gt;0,COUNTIF($AB$13:$AM$13,BM.medicao)&gt;0),O60/$I60*100,0))</f>
        <v>0</v>
      </c>
      <c r="M60" s="380">
        <f ca="1">IF($A60="S",VTOTALBM,IF($A60=0,0,ROUND(SomaAgrupBM,15-13*ORÇAMENTO!$AF$11)))</f>
        <v>0</v>
      </c>
      <c r="N60" s="381">
        <f ca="1">O60-M60</f>
        <v>0</v>
      </c>
      <c r="O60" s="127">
        <f ca="1">IF($A60="S",VTOTALBM,IF($A60=0,0,ROUND(SomaAgrupBM,15-13*ORÇAMENTO!$AF$11)))</f>
        <v>0</v>
      </c>
      <c r="Q60" s="382"/>
      <c r="R60" s="383"/>
      <c r="T60" s="119" t="str">
        <f ca="1">IF($W60&gt;0,$D60,"")</f>
        <v/>
      </c>
      <c r="U60" s="172" t="str">
        <f ca="1">IF($W60&gt;0,$E60,"")</f>
        <v/>
      </c>
      <c r="V60" s="173" t="str">
        <f ca="1">IF(AND($W60&gt;0,RegimeExecucao="Unitário"),$F60,"")</f>
        <v/>
      </c>
      <c r="W60" s="547">
        <f ca="1">IF($Y60&gt;0,CHOOSE(MATCH(RegimeExecucao,{"Unitário","Global"},0),IF($A60="S",$Y60/$X60,""),($Y60/$X60)*100),0)</f>
        <v>0</v>
      </c>
      <c r="X60" s="384" t="str">
        <f ca="1">IF($Y60&gt;0,CHOOSE(MATCH(RegimeExecucao,{"Unitário","Global"},0),IF($A60="S",ROUND($H60,ORÇAMENTO!$AF$10),""),ROUND($I60,ORÇAMENTO!$AF$11)),"")</f>
        <v/>
      </c>
      <c r="Y60" s="384">
        <f ca="1">AO60-O60</f>
        <v>0</v>
      </c>
      <c r="Z60" s="572"/>
      <c r="AB60" s="382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383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x14ac:dyDescent="0.2">
      <c r="A61" t="str">
        <f ca="1">ORÇAMENTO!C61</f>
        <v>S</v>
      </c>
      <c r="B61">
        <f ca="1">ORÇAMENTO!D61</f>
        <v>0</v>
      </c>
      <c r="C61" s="116" t="str">
        <f t="shared" ca="1" si="22"/>
        <v>F</v>
      </c>
      <c r="D61" s="119" t="str">
        <f ca="1">ORÇAMENTO!O61</f>
        <v>4.2.3.</v>
      </c>
      <c r="E61" s="172" t="str">
        <f ca="1">ORÇAMENTO.Descricao</f>
        <v>REVESTIMENTO EM TIJOLO CERÂMICO REFRATÁRIO 2,5X11,40X22,90</v>
      </c>
      <c r="F61" s="173" t="str">
        <f ca="1">IF(RegimeExecucao="Global","",ORÇAMENTO.Unidade)</f>
        <v>M2</v>
      </c>
      <c r="G61" s="124">
        <f ca="1">IF(RegimeExecucao="Global","",ORÇAMENTO!T61)</f>
        <v>6.36</v>
      </c>
      <c r="H61" s="124">
        <f ca="1">IF(RegimeExecucao="Global","",ORÇAMENTO!W61)</f>
        <v>317.74</v>
      </c>
      <c r="I61" s="127">
        <f ca="1">ORÇAMENTO!X61</f>
        <v>2020.83</v>
      </c>
      <c r="J61" s="378">
        <f ca="1">IF($A61="S",IF(CAIXA.Modo,BM.AFAnterior,BM.MEDAnterior),IF(AND(RegimeExecucao="Global",$I61&gt;0,COUNTIF($AB$13:$AM$13,BM.medicao-1)&gt;0),M61/$I61*100,0))</f>
        <v>0</v>
      </c>
      <c r="K61" s="124">
        <f t="shared" ca="1" si="23"/>
        <v>0</v>
      </c>
      <c r="L61" s="379">
        <f ca="1">IF($A61="S",IF(CAIXA.Modo,BM.AFAcumulado,BM.MEDAcumulado),IF(AND(RegimeExecucao="Global",$I61&gt;0,COUNTIF($AB$13:$AM$13,BM.medicao)&gt;0),O61/$I61*100,0))</f>
        <v>0</v>
      </c>
      <c r="M61" s="380">
        <f ca="1">IF($A61="S",VTOTALBM,IF($A61=0,0,ROUND(SomaAgrupBM,15-13*ORÇAMENTO!$AF$11)))</f>
        <v>0</v>
      </c>
      <c r="N61" s="381">
        <f t="shared" ca="1" si="24"/>
        <v>0</v>
      </c>
      <c r="O61" s="127">
        <f ca="1">IF($A61="S",VTOTALBM,IF($A61=0,0,ROUND(SomaAgrupBM,15-13*ORÇAMENTO!$AF$11)))</f>
        <v>0</v>
      </c>
      <c r="Q61" s="382"/>
      <c r="R61" s="383"/>
      <c r="T61" s="119" t="str">
        <f t="shared" ca="1" si="25"/>
        <v/>
      </c>
      <c r="U61" s="172" t="str">
        <f t="shared" ca="1" si="26"/>
        <v/>
      </c>
      <c r="V61" s="173" t="str">
        <f ca="1">IF(AND($W61&gt;0,RegimeExecucao="Unitário"),$F61,"")</f>
        <v/>
      </c>
      <c r="W61" s="547">
        <f ca="1">IF($Y61&gt;0,CHOOSE(MATCH(RegimeExecucao,{"Unitário","Global"},0),IF($A61="S",$Y61/$X61,""),($Y61/$X61)*100),0)</f>
        <v>0</v>
      </c>
      <c r="X61" s="384" t="str">
        <f ca="1">IF($Y61&gt;0,CHOOSE(MATCH(RegimeExecucao,{"Unitário","Global"},0),IF($A61="S",ROUND($H61,ORÇAMENTO!$AF$10),""),ROUND($I61,ORÇAMENTO!$AF$11)),"")</f>
        <v/>
      </c>
      <c r="Y61" s="384">
        <f t="shared" ca="1" si="27"/>
        <v>0</v>
      </c>
      <c r="Z61" s="572"/>
      <c r="AB61" s="382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383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x14ac:dyDescent="0.2">
      <c r="A62">
        <f ca="1">ORÇAMENTO!C62</f>
        <v>2</v>
      </c>
      <c r="B62">
        <f ca="1">ORÇAMENTO!D62</f>
        <v>5</v>
      </c>
      <c r="C62" s="116" t="str">
        <f t="shared" ca="1" si="22"/>
        <v>F</v>
      </c>
      <c r="D62" s="119" t="str">
        <f ca="1">ORÇAMENTO!O62</f>
        <v>4.3.</v>
      </c>
      <c r="E62" s="172" t="str">
        <f t="shared" si="15"/>
        <v xml:space="preserve">ESQUADRIAS </v>
      </c>
      <c r="F62" s="173" t="str">
        <f ca="1">IF(RegimeExecucao="Global","",ORÇAMENTO.Unidade)</f>
        <v>-</v>
      </c>
      <c r="G62" s="124">
        <f ca="1">IF(RegimeExecucao="Global","",ORÇAMENTO!T62)</f>
        <v>0</v>
      </c>
      <c r="H62" s="124">
        <f ca="1">IF(RegimeExecucao="Global","",ORÇAMENTO!W62)</f>
        <v>0</v>
      </c>
      <c r="I62" s="127">
        <f ca="1">ORÇAMENTO!X62</f>
        <v>22185.47</v>
      </c>
      <c r="J62" s="378">
        <f ca="1">IF($A62="S",IF(CAIXA.Modo,BM.AFAnterior,BM.MEDAnterior),IF(AND(RegimeExecucao="Global",$I62&gt;0,COUNTIF($AB$13:$AM$13,BM.medicao-1)&gt;0),M62/$I62*100,0))</f>
        <v>0</v>
      </c>
      <c r="K62" s="124">
        <f t="shared" ca="1" si="23"/>
        <v>0</v>
      </c>
      <c r="L62" s="379">
        <f ca="1">IF($A62="S",IF(CAIXA.Modo,BM.AFAcumulado,BM.MEDAcumulado),IF(AND(RegimeExecucao="Global",$I62&gt;0,COUNTIF($AB$13:$AM$13,BM.medicao)&gt;0),O62/$I62*100,0))</f>
        <v>0</v>
      </c>
      <c r="M62" s="380">
        <f ca="1">IF($A62="S",VTOTALBM,IF($A62=0,0,ROUND(SomaAgrupBM,15-13*ORÇAMENTO!$AF$11)))</f>
        <v>0</v>
      </c>
      <c r="N62" s="381">
        <f t="shared" ca="1" si="24"/>
        <v>0</v>
      </c>
      <c r="O62" s="127">
        <f ca="1">IF($A62="S",VTOTALBM,IF($A62=0,0,ROUND(SomaAgrupBM,15-13*ORÇAMENTO!$AF$11)))</f>
        <v>0</v>
      </c>
      <c r="Q62" s="382"/>
      <c r="R62" s="383"/>
      <c r="T62" s="119" t="str">
        <f t="shared" ca="1" si="25"/>
        <v/>
      </c>
      <c r="U62" s="172" t="str">
        <f t="shared" ca="1" si="26"/>
        <v/>
      </c>
      <c r="V62" s="173" t="str">
        <f ca="1">IF(AND($W62&gt;0,RegimeExecucao="Unitário"),$F62,"")</f>
        <v/>
      </c>
      <c r="W62" s="547">
        <f ca="1">IF($Y62&gt;0,CHOOSE(MATCH(RegimeExecucao,{"Unitário","Global"},0),IF($A62="S",$Y62/$X62,""),($Y62/$X62)*100),0)</f>
        <v>0</v>
      </c>
      <c r="X62" s="384" t="str">
        <f ca="1">IF($Y62&gt;0,CHOOSE(MATCH(RegimeExecucao,{"Unitário","Global"},0),IF($A62="S",ROUND($H62,ORÇAMENTO!$AF$10),""),ROUND($I62,ORÇAMENTO!$AF$11)),"")</f>
        <v/>
      </c>
      <c r="Y62" s="384">
        <f t="shared" ca="1" si="27"/>
        <v>0</v>
      </c>
      <c r="Z62" s="572"/>
      <c r="AB62" s="382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383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ht="38.25" x14ac:dyDescent="0.2">
      <c r="A63" t="str">
        <f ca="1">ORÇAMENTO!C63</f>
        <v>S</v>
      </c>
      <c r="B63">
        <f ca="1">ORÇAMENTO!D63</f>
        <v>0</v>
      </c>
      <c r="C63" s="116" t="str">
        <f t="shared" ca="1" si="22"/>
        <v>F</v>
      </c>
      <c r="D63" s="119" t="str">
        <f ca="1">ORÇAMENTO!O63</f>
        <v>4.3.1.</v>
      </c>
      <c r="E63" s="172" t="str">
        <f t="shared" ca="1" si="15"/>
        <v>PORTA EM AÇO DE ABRIR PARA VIDRO SEM GUARNIÇÃO, 90X210CM, FIXAÇÃO COM PARAFUSOS, EXCLUSIVE VIDROS - FORNECIMENTO E INSTALAÇÃO. AF_10/2025</v>
      </c>
      <c r="F63" s="173" t="str">
        <f ca="1">IF(RegimeExecucao="Global","",ORÇAMENTO.Unidade)</f>
        <v>UN</v>
      </c>
      <c r="G63" s="124">
        <f ca="1">IF(RegimeExecucao="Global","",ORÇAMENTO!T63)</f>
        <v>7</v>
      </c>
      <c r="H63" s="124">
        <f ca="1">IF(RegimeExecucao="Global","",ORÇAMENTO!W63)</f>
        <v>889.75</v>
      </c>
      <c r="I63" s="127">
        <f ca="1">ORÇAMENTO!X63</f>
        <v>6228.25</v>
      </c>
      <c r="J63" s="378">
        <f ca="1">IF($A63="S",IF(CAIXA.Modo,BM.AFAnterior,BM.MEDAnterior),IF(AND(RegimeExecucao="Global",$I63&gt;0,COUNTIF($AB$13:$AM$13,BM.medicao-1)&gt;0),M63/$I63*100,0))</f>
        <v>0</v>
      </c>
      <c r="K63" s="124">
        <f t="shared" ca="1" si="23"/>
        <v>0</v>
      </c>
      <c r="L63" s="379">
        <f ca="1">IF($A63="S",IF(CAIXA.Modo,BM.AFAcumulado,BM.MEDAcumulado),IF(AND(RegimeExecucao="Global",$I63&gt;0,COUNTIF($AB$13:$AM$13,BM.medicao)&gt;0),O63/$I63*100,0))</f>
        <v>0</v>
      </c>
      <c r="M63" s="380">
        <f ca="1">IF($A63="S",VTOTALBM,IF($A63=0,0,ROUND(SomaAgrupBM,15-13*ORÇAMENTO!$AF$11)))</f>
        <v>0</v>
      </c>
      <c r="N63" s="381">
        <f t="shared" ca="1" si="24"/>
        <v>0</v>
      </c>
      <c r="O63" s="127">
        <f ca="1">IF($A63="S",VTOTALBM,IF($A63=0,0,ROUND(SomaAgrupBM,15-13*ORÇAMENTO!$AF$11)))</f>
        <v>0</v>
      </c>
      <c r="Q63" s="382"/>
      <c r="R63" s="383"/>
      <c r="T63" s="119" t="str">
        <f t="shared" ca="1" si="25"/>
        <v/>
      </c>
      <c r="U63" s="172" t="str">
        <f t="shared" ca="1" si="26"/>
        <v/>
      </c>
      <c r="V63" s="173" t="str">
        <f ca="1">IF(AND($W63&gt;0,RegimeExecucao="Unitário"),$F63,"")</f>
        <v/>
      </c>
      <c r="W63" s="547">
        <f ca="1">IF($Y63&gt;0,CHOOSE(MATCH(RegimeExecucao,{"Unitário","Global"},0),IF($A63="S",$Y63/$X63,""),($Y63/$X63)*100),0)</f>
        <v>0</v>
      </c>
      <c r="X63" s="384" t="str">
        <f ca="1">IF($Y63&gt;0,CHOOSE(MATCH(RegimeExecucao,{"Unitário","Global"},0),IF($A63="S",ROUND($H63,ORÇAMENTO!$AF$10),""),ROUND($I63,ORÇAMENTO!$AF$11)),"")</f>
        <v/>
      </c>
      <c r="Y63" s="384">
        <f t="shared" ca="1" si="27"/>
        <v>0</v>
      </c>
      <c r="Z63" s="572"/>
      <c r="AB63" s="382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383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ht="38.25" x14ac:dyDescent="0.2">
      <c r="A64" t="str">
        <f ca="1">ORÇAMENTO!C64</f>
        <v>S</v>
      </c>
      <c r="B64">
        <f ca="1">ORÇAMENTO!D64</f>
        <v>0</v>
      </c>
      <c r="C64" s="116" t="str">
        <f t="shared" ca="1" si="22"/>
        <v>F</v>
      </c>
      <c r="D64" s="119" t="str">
        <f ca="1">ORÇAMENTO!O64</f>
        <v>4.3.2.</v>
      </c>
      <c r="E64" s="172" t="str">
        <f ca="1">ORÇAMENTO.Descricao</f>
        <v>PORTA EM ALUMÍNIO DE ABRIR TIPO VENEZIANA COM GUARNIÇÃO, FIXAÇÃO COM PARAFUSOS - FORNECIMENTO E INSTALAÇÃO. AF_10/2025</v>
      </c>
      <c r="F64" s="173" t="str">
        <f ca="1">IF(RegimeExecucao="Global","",ORÇAMENTO.Unidade)</f>
        <v>M2</v>
      </c>
      <c r="G64" s="124">
        <f ca="1">IF(RegimeExecucao="Global","",ORÇAMENTO!T64)</f>
        <v>6.3</v>
      </c>
      <c r="H64" s="124">
        <f ca="1">IF(RegimeExecucao="Global","",ORÇAMENTO!W64)</f>
        <v>1199.76</v>
      </c>
      <c r="I64" s="127">
        <f ca="1">ORÇAMENTO!X64</f>
        <v>7558.49</v>
      </c>
      <c r="J64" s="378">
        <f ca="1">IF($A64="S",IF(CAIXA.Modo,BM.AFAnterior,BM.MEDAnterior),IF(AND(RegimeExecucao="Global",$I64&gt;0,COUNTIF($AB$13:$AM$13,BM.medicao-1)&gt;0),M64/$I64*100,0))</f>
        <v>0</v>
      </c>
      <c r="K64" s="124">
        <f t="shared" ca="1" si="23"/>
        <v>0</v>
      </c>
      <c r="L64" s="379">
        <f ca="1">IF($A64="S",IF(CAIXA.Modo,BM.AFAcumulado,BM.MEDAcumulado),IF(AND(RegimeExecucao="Global",$I64&gt;0,COUNTIF($AB$13:$AM$13,BM.medicao)&gt;0),O64/$I64*100,0))</f>
        <v>0</v>
      </c>
      <c r="M64" s="380">
        <f ca="1">IF($A64="S",VTOTALBM,IF($A64=0,0,ROUND(SomaAgrupBM,15-13*ORÇAMENTO!$AF$11)))</f>
        <v>0</v>
      </c>
      <c r="N64" s="381">
        <f t="shared" ca="1" si="24"/>
        <v>0</v>
      </c>
      <c r="O64" s="127">
        <f ca="1">IF($A64="S",VTOTALBM,IF($A64=0,0,ROUND(SomaAgrupBM,15-13*ORÇAMENTO!$AF$11)))</f>
        <v>0</v>
      </c>
      <c r="Q64" s="382"/>
      <c r="R64" s="383"/>
      <c r="T64" s="119" t="str">
        <f t="shared" ca="1" si="25"/>
        <v/>
      </c>
      <c r="U64" s="172" t="str">
        <f t="shared" ca="1" si="26"/>
        <v/>
      </c>
      <c r="V64" s="173" t="str">
        <f ca="1">IF(AND($W64&gt;0,RegimeExecucao="Unitário"),$F64,"")</f>
        <v/>
      </c>
      <c r="W64" s="547">
        <f ca="1">IF($Y64&gt;0,CHOOSE(MATCH(RegimeExecucao,{"Unitário","Global"},0),IF($A64="S",$Y64/$X64,""),($Y64/$X64)*100),0)</f>
        <v>0</v>
      </c>
      <c r="X64" s="384" t="str">
        <f ca="1">IF($Y64&gt;0,CHOOSE(MATCH(RegimeExecucao,{"Unitário","Global"},0),IF($A64="S",ROUND($H64,ORÇAMENTO!$AF$10),""),ROUND($I64,ORÇAMENTO!$AF$11)),"")</f>
        <v/>
      </c>
      <c r="Y64" s="384">
        <f t="shared" ca="1" si="27"/>
        <v>0</v>
      </c>
      <c r="Z64" s="572"/>
      <c r="AB64" s="382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383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76.5" x14ac:dyDescent="0.2">
      <c r="A65" t="str">
        <f ca="1">ORÇAMENTO!C65</f>
        <v>S</v>
      </c>
      <c r="B65">
        <f ca="1">ORÇAMENTO!D65</f>
        <v>0</v>
      </c>
      <c r="C65" s="116" t="str">
        <f t="shared" ref="C65:C69" ca="1" si="28">IF(OR($I65&gt;0,$A65=1,$A65=2,$A65=3,$A65=4),"F","")</f>
        <v>F</v>
      </c>
      <c r="D65" s="119" t="str">
        <f ca="1">ORÇAMENTO!O65</f>
        <v>4.3.3.</v>
      </c>
      <c r="E65" s="172" t="str">
        <f t="shared" ca="1" si="15"/>
        <v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v>
      </c>
      <c r="F65" s="173" t="str">
        <f ca="1">IF(RegimeExecucao="Global","",ORÇAMENTO.Unidade)</f>
        <v>M2</v>
      </c>
      <c r="G65" s="124">
        <f ca="1">IF(RegimeExecucao="Global","",ORÇAMENTO!T65)</f>
        <v>6.48</v>
      </c>
      <c r="H65" s="124">
        <f ca="1">IF(RegimeExecucao="Global","",ORÇAMENTO!W65)</f>
        <v>693.04</v>
      </c>
      <c r="I65" s="127">
        <f ca="1">ORÇAMENTO!X65</f>
        <v>4490.8999999999996</v>
      </c>
      <c r="J65" s="378">
        <f ca="1">IF($A65="S",IF(CAIXA.Modo,BM.AFAnterior,BM.MEDAnterior),IF(AND(RegimeExecucao="Global",$I65&gt;0,COUNTIF($AB$13:$AM$13,BM.medicao-1)&gt;0),M65/$I65*100,0))</f>
        <v>0</v>
      </c>
      <c r="K65" s="124">
        <f t="shared" ref="K65:K69" ca="1" si="29">L65-J65</f>
        <v>0</v>
      </c>
      <c r="L65" s="379">
        <f ca="1">IF($A65="S",IF(CAIXA.Modo,BM.AFAcumulado,BM.MEDAcumulado),IF(AND(RegimeExecucao="Global",$I65&gt;0,COUNTIF($AB$13:$AM$13,BM.medicao)&gt;0),O65/$I65*100,0))</f>
        <v>0</v>
      </c>
      <c r="M65" s="380">
        <f ca="1">IF($A65="S",VTOTALBM,IF($A65=0,0,ROUND(SomaAgrupBM,15-13*ORÇAMENTO!$AF$11)))</f>
        <v>0</v>
      </c>
      <c r="N65" s="381">
        <f t="shared" ref="N65:N69" ca="1" si="30">O65-M65</f>
        <v>0</v>
      </c>
      <c r="O65" s="127">
        <f ca="1">IF($A65="S",VTOTALBM,IF($A65=0,0,ROUND(SomaAgrupBM,15-13*ORÇAMENTO!$AF$11)))</f>
        <v>0</v>
      </c>
      <c r="Q65" s="382"/>
      <c r="R65" s="383"/>
      <c r="T65" s="119" t="str">
        <f t="shared" ref="T65:T69" ca="1" si="31">IF($W65&gt;0,$D65,"")</f>
        <v/>
      </c>
      <c r="U65" s="172" t="str">
        <f t="shared" ref="U65:U69" ca="1" si="32">IF($W65&gt;0,$E65,"")</f>
        <v/>
      </c>
      <c r="V65" s="173" t="str">
        <f ca="1">IF(AND($W65&gt;0,RegimeExecucao="Unitário"),$F65,"")</f>
        <v/>
      </c>
      <c r="W65" s="547">
        <f ca="1">IF($Y65&gt;0,CHOOSE(MATCH(RegimeExecucao,{"Unitário","Global"},0),IF($A65="S",$Y65/$X65,""),($Y65/$X65)*100),0)</f>
        <v>0</v>
      </c>
      <c r="X65" s="384" t="str">
        <f ca="1">IF($Y65&gt;0,CHOOSE(MATCH(RegimeExecucao,{"Unitário","Global"},0),IF($A65="S",ROUND($H65,ORÇAMENTO!$AF$10),""),ROUND($I65,ORÇAMENTO!$AF$11)),"")</f>
        <v/>
      </c>
      <c r="Y65" s="384">
        <f t="shared" ref="Y65:Y69" ca="1" si="33">AO65-O65</f>
        <v>0</v>
      </c>
      <c r="Z65" s="572"/>
      <c r="AB65" s="382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383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x14ac:dyDescent="0.2">
      <c r="A66" t="str">
        <f ca="1">ORÇAMENTO!C66</f>
        <v>S</v>
      </c>
      <c r="B66">
        <f ca="1">ORÇAMENTO!D66</f>
        <v>0</v>
      </c>
      <c r="C66" s="116" t="str">
        <f t="shared" ca="1" si="28"/>
        <v>F</v>
      </c>
      <c r="D66" s="119" t="str">
        <f ca="1">ORÇAMENTO!O66</f>
        <v>4.3.4.</v>
      </c>
      <c r="E66" s="172" t="str">
        <f t="shared" si="15"/>
        <v xml:space="preserve">JANELA DE AÇO BASCULANTE </v>
      </c>
      <c r="F66" s="173" t="str">
        <f ca="1">IF(RegimeExecucao="Global","",ORÇAMENTO.Unidade)</f>
        <v>M2</v>
      </c>
      <c r="G66" s="124">
        <f ca="1">IF(RegimeExecucao="Global","",ORÇAMENTO!T66)</f>
        <v>4.5599999999999996</v>
      </c>
      <c r="H66" s="124">
        <f ca="1">IF(RegimeExecucao="Global","",ORÇAMENTO!W66)</f>
        <v>856.98</v>
      </c>
      <c r="I66" s="127">
        <f ca="1">ORÇAMENTO!X66</f>
        <v>3907.83</v>
      </c>
      <c r="J66" s="378">
        <f ca="1">IF($A66="S",IF(CAIXA.Modo,BM.AFAnterior,BM.MEDAnterior),IF(AND(RegimeExecucao="Global",$I66&gt;0,COUNTIF($AB$13:$AM$13,BM.medicao-1)&gt;0),M66/$I66*100,0))</f>
        <v>0</v>
      </c>
      <c r="K66" s="124">
        <f t="shared" ca="1" si="29"/>
        <v>0</v>
      </c>
      <c r="L66" s="379">
        <f ca="1">IF($A66="S",IF(CAIXA.Modo,BM.AFAcumulado,BM.MEDAcumulado),IF(AND(RegimeExecucao="Global",$I66&gt;0,COUNTIF($AB$13:$AM$13,BM.medicao)&gt;0),O66/$I66*100,0))</f>
        <v>0</v>
      </c>
      <c r="M66" s="380">
        <f ca="1">IF($A66="S",VTOTALBM,IF($A66=0,0,ROUND(SomaAgrupBM,15-13*ORÇAMENTO!$AF$11)))</f>
        <v>0</v>
      </c>
      <c r="N66" s="381">
        <f t="shared" ca="1" si="30"/>
        <v>0</v>
      </c>
      <c r="O66" s="127">
        <f ca="1">IF($A66="S",VTOTALBM,IF($A66=0,0,ROUND(SomaAgrupBM,15-13*ORÇAMENTO!$AF$11)))</f>
        <v>0</v>
      </c>
      <c r="Q66" s="382"/>
      <c r="R66" s="383"/>
      <c r="T66" s="119" t="str">
        <f t="shared" ca="1" si="31"/>
        <v/>
      </c>
      <c r="U66" s="172" t="str">
        <f t="shared" ca="1" si="32"/>
        <v/>
      </c>
      <c r="V66" s="173" t="str">
        <f ca="1">IF(AND($W66&gt;0,RegimeExecucao="Unitário"),$F66,"")</f>
        <v/>
      </c>
      <c r="W66" s="547">
        <f ca="1">IF($Y66&gt;0,CHOOSE(MATCH(RegimeExecucao,{"Unitário","Global"},0),IF($A66="S",$Y66/$X66,""),($Y66/$X66)*100),0)</f>
        <v>0</v>
      </c>
      <c r="X66" s="384" t="str">
        <f ca="1">IF($Y66&gt;0,CHOOSE(MATCH(RegimeExecucao,{"Unitário","Global"},0),IF($A66="S",ROUND($H66,ORÇAMENTO!$AF$10),""),ROUND($I66,ORÇAMENTO!$AF$11)),"")</f>
        <v/>
      </c>
      <c r="Y66" s="384">
        <f t="shared" ca="1" si="33"/>
        <v>0</v>
      </c>
      <c r="Z66" s="572"/>
      <c r="AB66" s="382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383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x14ac:dyDescent="0.2">
      <c r="A67">
        <f ca="1">ORÇAMENTO!C67</f>
        <v>2</v>
      </c>
      <c r="B67">
        <f ca="1">ORÇAMENTO!D67</f>
        <v>3</v>
      </c>
      <c r="C67" s="116" t="str">
        <f t="shared" ca="1" si="28"/>
        <v>F</v>
      </c>
      <c r="D67" s="119" t="str">
        <f ca="1">ORÇAMENTO!O67</f>
        <v>4.4.</v>
      </c>
      <c r="E67" s="172" t="str">
        <f t="shared" si="15"/>
        <v>GRADIL METÁLICO</v>
      </c>
      <c r="F67" s="173" t="str">
        <f ca="1">IF(RegimeExecucao="Global","",ORÇAMENTO.Unidade)</f>
        <v>-</v>
      </c>
      <c r="G67" s="124">
        <f ca="1">IF(RegimeExecucao="Global","",ORÇAMENTO!T67)</f>
        <v>0</v>
      </c>
      <c r="H67" s="124">
        <f ca="1">IF(RegimeExecucao="Global","",ORÇAMENTO!W67)</f>
        <v>0</v>
      </c>
      <c r="I67" s="127">
        <f ca="1">ORÇAMENTO!X67</f>
        <v>9511.85</v>
      </c>
      <c r="J67" s="378">
        <f ca="1">IF($A67="S",IF(CAIXA.Modo,BM.AFAnterior,BM.MEDAnterior),IF(AND(RegimeExecucao="Global",$I67&gt;0,COUNTIF($AB$13:$AM$13,BM.medicao-1)&gt;0),M67/$I67*100,0))</f>
        <v>0</v>
      </c>
      <c r="K67" s="124">
        <f t="shared" ca="1" si="29"/>
        <v>0</v>
      </c>
      <c r="L67" s="379">
        <f ca="1">IF($A67="S",IF(CAIXA.Modo,BM.AFAcumulado,BM.MEDAcumulado),IF(AND(RegimeExecucao="Global",$I67&gt;0,COUNTIF($AB$13:$AM$13,BM.medicao)&gt;0),O67/$I67*100,0))</f>
        <v>0</v>
      </c>
      <c r="M67" s="380">
        <f ca="1">IF($A67="S",VTOTALBM,IF($A67=0,0,ROUND(SomaAgrupBM,15-13*ORÇAMENTO!$AF$11)))</f>
        <v>0</v>
      </c>
      <c r="N67" s="381">
        <f t="shared" ca="1" si="30"/>
        <v>0</v>
      </c>
      <c r="O67" s="127">
        <f ca="1">IF($A67="S",VTOTALBM,IF($A67=0,0,ROUND(SomaAgrupBM,15-13*ORÇAMENTO!$AF$11)))</f>
        <v>0</v>
      </c>
      <c r="Q67" s="382"/>
      <c r="R67" s="383"/>
      <c r="T67" s="119" t="str">
        <f t="shared" ca="1" si="31"/>
        <v/>
      </c>
      <c r="U67" s="172" t="str">
        <f t="shared" ca="1" si="32"/>
        <v/>
      </c>
      <c r="V67" s="173" t="str">
        <f ca="1">IF(AND($W67&gt;0,RegimeExecucao="Unitário"),$F67,"")</f>
        <v/>
      </c>
      <c r="W67" s="547">
        <f ca="1">IF($Y67&gt;0,CHOOSE(MATCH(RegimeExecucao,{"Unitário","Global"},0),IF($A67="S",$Y67/$X67,""),($Y67/$X67)*100),0)</f>
        <v>0</v>
      </c>
      <c r="X67" s="384" t="str">
        <f ca="1">IF($Y67&gt;0,CHOOSE(MATCH(RegimeExecucao,{"Unitário","Global"},0),IF($A67="S",ROUND($H67,ORÇAMENTO!$AF$10),""),ROUND($I67,ORÇAMENTO!$AF$11)),"")</f>
        <v/>
      </c>
      <c r="Y67" s="384">
        <f t="shared" ca="1" si="33"/>
        <v>0</v>
      </c>
      <c r="Z67" s="572"/>
      <c r="AB67" s="382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383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ht="25.5" x14ac:dyDescent="0.2">
      <c r="A68" t="str">
        <f ca="1">ORÇAMENTO!C68</f>
        <v>S</v>
      </c>
      <c r="B68">
        <f ca="1">ORÇAMENTO!D68</f>
        <v>0</v>
      </c>
      <c r="C68" s="116" t="str">
        <f t="shared" ca="1" si="28"/>
        <v>F</v>
      </c>
      <c r="D68" s="119" t="str">
        <f ca="1">ORÇAMENTO!O68</f>
        <v>4.4.1.</v>
      </c>
      <c r="E68" s="172" t="str">
        <f t="shared" ca="1" si="15"/>
        <v>PORTA DE FERRO, DE ABRIR, TIPO GRADE COM CHAPA, COM GUARNIÇÕES. AF_10/2025</v>
      </c>
      <c r="F68" s="173" t="str">
        <f ca="1">IF(RegimeExecucao="Global","",ORÇAMENTO.Unidade)</f>
        <v>M2</v>
      </c>
      <c r="G68" s="124">
        <f ca="1">IF(RegimeExecucao="Global","",ORÇAMENTO!T68)</f>
        <v>1.68</v>
      </c>
      <c r="H68" s="124">
        <f ca="1">IF(RegimeExecucao="Global","",ORÇAMENTO!W68)</f>
        <v>795.47</v>
      </c>
      <c r="I68" s="127">
        <f ca="1">ORÇAMENTO!X68</f>
        <v>1336.39</v>
      </c>
      <c r="J68" s="378">
        <f ca="1">IF($A68="S",IF(CAIXA.Modo,BM.AFAnterior,BM.MEDAnterior),IF(AND(RegimeExecucao="Global",$I68&gt;0,COUNTIF($AB$13:$AM$13,BM.medicao-1)&gt;0),M68/$I68*100,0))</f>
        <v>0</v>
      </c>
      <c r="K68" s="124">
        <f t="shared" ca="1" si="29"/>
        <v>0</v>
      </c>
      <c r="L68" s="379">
        <f ca="1">IF($A68="S",IF(CAIXA.Modo,BM.AFAcumulado,BM.MEDAcumulado),IF(AND(RegimeExecucao="Global",$I68&gt;0,COUNTIF($AB$13:$AM$13,BM.medicao)&gt;0),O68/$I68*100,0))</f>
        <v>0</v>
      </c>
      <c r="M68" s="380">
        <f ca="1">IF($A68="S",VTOTALBM,IF($A68=0,0,ROUND(SomaAgrupBM,15-13*ORÇAMENTO!$AF$11)))</f>
        <v>0</v>
      </c>
      <c r="N68" s="381">
        <f t="shared" ca="1" si="30"/>
        <v>0</v>
      </c>
      <c r="O68" s="127">
        <f ca="1">IF($A68="S",VTOTALBM,IF($A68=0,0,ROUND(SomaAgrupBM,15-13*ORÇAMENTO!$AF$11)))</f>
        <v>0</v>
      </c>
      <c r="Q68" s="382"/>
      <c r="R68" s="383"/>
      <c r="T68" s="119" t="str">
        <f t="shared" ca="1" si="31"/>
        <v/>
      </c>
      <c r="U68" s="172" t="str">
        <f t="shared" ca="1" si="32"/>
        <v/>
      </c>
      <c r="V68" s="173" t="str">
        <f ca="1">IF(AND($W68&gt;0,RegimeExecucao="Unitário"),$F68,"")</f>
        <v/>
      </c>
      <c r="W68" s="547">
        <f ca="1">IF($Y68&gt;0,CHOOSE(MATCH(RegimeExecucao,{"Unitário","Global"},0),IF($A68="S",$Y68/$X68,""),($Y68/$X68)*100),0)</f>
        <v>0</v>
      </c>
      <c r="X68" s="384" t="str">
        <f ca="1">IF($Y68&gt;0,CHOOSE(MATCH(RegimeExecucao,{"Unitário","Global"},0),IF($A68="S",ROUND($H68,ORÇAMENTO!$AF$10),""),ROUND($I68,ORÇAMENTO!$AF$11)),"")</f>
        <v/>
      </c>
      <c r="Y68" s="384">
        <f t="shared" ca="1" si="33"/>
        <v>0</v>
      </c>
      <c r="Z68" s="572"/>
      <c r="AB68" s="382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383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ht="25.5" x14ac:dyDescent="0.2">
      <c r="A69" t="str">
        <f ca="1">ORÇAMENTO!C69</f>
        <v>S</v>
      </c>
      <c r="B69">
        <f ca="1">ORÇAMENTO!D69</f>
        <v>0</v>
      </c>
      <c r="C69" s="116" t="str">
        <f t="shared" ca="1" si="28"/>
        <v>F</v>
      </c>
      <c r="D69" s="119" t="str">
        <f ca="1">ORÇAMENTO!O69</f>
        <v>4.4.2.</v>
      </c>
      <c r="E69" s="172" t="str">
        <f t="shared" ca="1" si="15"/>
        <v>GRADIL EM AÇO FIXADO EM VÃOS DE JANELAS, FORMADO POR BARRAS CHATAS DE 25X4,8 MM. AF_10/2025</v>
      </c>
      <c r="F69" s="173" t="str">
        <f ca="1">IF(RegimeExecucao="Global","",ORÇAMENTO.Unidade)</f>
        <v>M2</v>
      </c>
      <c r="G69" s="124">
        <f ca="1">IF(RegimeExecucao="Global","",ORÇAMENTO!T69)</f>
        <v>11.42</v>
      </c>
      <c r="H69" s="124">
        <f ca="1">IF(RegimeExecucao="Global","",ORÇAMENTO!W69)</f>
        <v>715.89</v>
      </c>
      <c r="I69" s="127">
        <f ca="1">ORÇAMENTO!X69</f>
        <v>8175.46</v>
      </c>
      <c r="J69" s="378">
        <f ca="1">IF($A69="S",IF(CAIXA.Modo,BM.AFAnterior,BM.MEDAnterior),IF(AND(RegimeExecucao="Global",$I69&gt;0,COUNTIF($AB$13:$AM$13,BM.medicao-1)&gt;0),M69/$I69*100,0))</f>
        <v>0</v>
      </c>
      <c r="K69" s="124">
        <f t="shared" ca="1" si="29"/>
        <v>0</v>
      </c>
      <c r="L69" s="379">
        <f ca="1">IF($A69="S",IF(CAIXA.Modo,BM.AFAcumulado,BM.MEDAcumulado),IF(AND(RegimeExecucao="Global",$I69&gt;0,COUNTIF($AB$13:$AM$13,BM.medicao)&gt;0),O69/$I69*100,0))</f>
        <v>0</v>
      </c>
      <c r="M69" s="380">
        <f ca="1">IF($A69="S",VTOTALBM,IF($A69=0,0,ROUND(SomaAgrupBM,15-13*ORÇAMENTO!$AF$11)))</f>
        <v>0</v>
      </c>
      <c r="N69" s="381">
        <f t="shared" ca="1" si="30"/>
        <v>0</v>
      </c>
      <c r="O69" s="127">
        <f ca="1">IF($A69="S",VTOTALBM,IF($A69=0,0,ROUND(SomaAgrupBM,15-13*ORÇAMENTO!$AF$11)))</f>
        <v>0</v>
      </c>
      <c r="Q69" s="382"/>
      <c r="R69" s="383"/>
      <c r="T69" s="119" t="str">
        <f t="shared" ca="1" si="31"/>
        <v/>
      </c>
      <c r="U69" s="172" t="str">
        <f t="shared" ca="1" si="32"/>
        <v/>
      </c>
      <c r="V69" s="173" t="str">
        <f ca="1">IF(AND($W69&gt;0,RegimeExecucao="Unitário"),$F69,"")</f>
        <v/>
      </c>
      <c r="W69" s="547">
        <f ca="1">IF($Y69&gt;0,CHOOSE(MATCH(RegimeExecucao,{"Unitário","Global"},0),IF($A69="S",$Y69/$X69,""),($Y69/$X69)*100),0)</f>
        <v>0</v>
      </c>
      <c r="X69" s="384" t="str">
        <f ca="1">IF($Y69&gt;0,CHOOSE(MATCH(RegimeExecucao,{"Unitário","Global"},0),IF($A69="S",ROUND($H69,ORÇAMENTO!$AF$10),""),ROUND($I69,ORÇAMENTO!$AF$11)),"")</f>
        <v/>
      </c>
      <c r="Y69" s="384">
        <f t="shared" ca="1" si="33"/>
        <v>0</v>
      </c>
      <c r="Z69" s="572"/>
      <c r="AB69" s="382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383"/>
      <c r="AO69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x14ac:dyDescent="0.2">
      <c r="A70">
        <f ca="1">ORÇAMENTO!C70</f>
        <v>1</v>
      </c>
      <c r="B70">
        <f ca="1">ORÇAMENTO!D70</f>
        <v>10</v>
      </c>
      <c r="C70" s="116" t="str">
        <f t="shared" ca="1" si="1"/>
        <v>F</v>
      </c>
      <c r="D70" s="119" t="str">
        <f ca="1">ORÇAMENTO!O70</f>
        <v>5.</v>
      </c>
      <c r="E70" s="172" t="str">
        <f t="shared" si="2"/>
        <v xml:space="preserve">COBERTURA </v>
      </c>
      <c r="F70" s="173" t="str">
        <f ca="1">IF(RegimeExecucao="Global","",ORÇAMENTO.Unidade)</f>
        <v>-</v>
      </c>
      <c r="G70" s="124">
        <f ca="1">IF(RegimeExecucao="Global","",ORÇAMENTO!T70)</f>
        <v>0</v>
      </c>
      <c r="H70" s="124">
        <f ca="1">IF(RegimeExecucao="Global","",ORÇAMENTO!W70)</f>
        <v>0</v>
      </c>
      <c r="I70" s="127">
        <f ca="1">ORÇAMENTO!X70</f>
        <v>51996.85</v>
      </c>
      <c r="J70" s="378">
        <f ca="1">IF($A70="S",IF(CAIXA.Modo,BM.AFAnterior,BM.MEDAnterior),IF(AND(RegimeExecucao="Global",$I70&gt;0,COUNTIF($AB$13:$AM$13,BM.medicao-1)&gt;0),M70/$I70*100,0))</f>
        <v>0</v>
      </c>
      <c r="K70" s="124">
        <f t="shared" ca="1" si="3"/>
        <v>0</v>
      </c>
      <c r="L70" s="379">
        <f ca="1">IF($A70="S",IF(CAIXA.Modo,BM.AFAcumulado,BM.MEDAcumulado),IF(AND(RegimeExecucao="Global",$I70&gt;0,COUNTIF($AB$13:$AM$13,BM.medicao)&gt;0),O70/$I70*100,0))</f>
        <v>0</v>
      </c>
      <c r="M70" s="380">
        <f ca="1">IF($A70="S",VTOTALBM,IF($A70=0,0,ROUND(SomaAgrupBM,15-13*ORÇAMENTO!$AF$11)))</f>
        <v>0</v>
      </c>
      <c r="N70" s="381">
        <f t="shared" ca="1" si="4"/>
        <v>0</v>
      </c>
      <c r="O70" s="127">
        <f ca="1">IF($A70="S",VTOTALBM,IF($A70=0,0,ROUND(SomaAgrupBM,15-13*ORÇAMENTO!$AF$11)))</f>
        <v>0</v>
      </c>
      <c r="Q70" s="382"/>
      <c r="R70" s="383"/>
      <c r="T70" s="119" t="str">
        <f t="shared" ca="1" si="5"/>
        <v/>
      </c>
      <c r="U70" s="172" t="str">
        <f t="shared" ca="1" si="6"/>
        <v/>
      </c>
      <c r="V70" s="173" t="str">
        <f ca="1">IF(AND($W70&gt;0,RegimeExecucao="Unitário"),$F70,"")</f>
        <v/>
      </c>
      <c r="W70" s="547">
        <f ca="1">IF($Y70&gt;0,CHOOSE(MATCH(RegimeExecucao,{"Unitário","Global"},0),IF($A70="S",$Y70/$X70,""),($Y70/$X70)*100),0)</f>
        <v>0</v>
      </c>
      <c r="X70" s="384" t="str">
        <f ca="1">IF($Y70&gt;0,CHOOSE(MATCH(RegimeExecucao,{"Unitário","Global"},0),IF($A70="S",ROUND($H70,ORÇAMENTO!$AF$10),""),ROUND($I70,ORÇAMENTO!$AF$11)),"")</f>
        <v/>
      </c>
      <c r="Y70" s="384">
        <f t="shared" ca="1" si="7"/>
        <v>0</v>
      </c>
      <c r="Z70" s="572"/>
      <c r="AB70" s="382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383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x14ac:dyDescent="0.2">
      <c r="A71">
        <f ca="1">ORÇAMENTO!C71</f>
        <v>2</v>
      </c>
      <c r="B71">
        <f ca="1">ORÇAMENTO!D71</f>
        <v>6</v>
      </c>
      <c r="C71" s="116" t="str">
        <f ca="1">IF(OR($I71&gt;0,$A71=1,$A71=2,$A71=3,$A71=4),"F","")</f>
        <v>F</v>
      </c>
      <c r="D71" s="119" t="str">
        <f ca="1">ORÇAMENTO!O71</f>
        <v>5.1.</v>
      </c>
      <c r="E71" s="172" t="str">
        <f>ORÇAMENTO.Descricao</f>
        <v xml:space="preserve">COBERTURA </v>
      </c>
      <c r="F71" s="173" t="str">
        <f ca="1">IF(RegimeExecucao="Global","",ORÇAMENTO.Unidade)</f>
        <v>-</v>
      </c>
      <c r="G71" s="124">
        <f ca="1">IF(RegimeExecucao="Global","",ORÇAMENTO!T71)</f>
        <v>0</v>
      </c>
      <c r="H71" s="124">
        <f ca="1">IF(RegimeExecucao="Global","",ORÇAMENTO!W71)</f>
        <v>0</v>
      </c>
      <c r="I71" s="127">
        <f ca="1">ORÇAMENTO!X71</f>
        <v>45335.61</v>
      </c>
      <c r="J71" s="378">
        <f ca="1">IF($A71="S",IF(CAIXA.Modo,BM.AFAnterior,BM.MEDAnterior),IF(AND(RegimeExecucao="Global",$I71&gt;0,COUNTIF($AB$13:$AM$13,BM.medicao-1)&gt;0),M71/$I71*100,0))</f>
        <v>0</v>
      </c>
      <c r="K71" s="124">
        <f ca="1">L71-J71</f>
        <v>0</v>
      </c>
      <c r="L71" s="379">
        <f ca="1">IF($A71="S",IF(CAIXA.Modo,BM.AFAcumulado,BM.MEDAcumulado),IF(AND(RegimeExecucao="Global",$I71&gt;0,COUNTIF($AB$13:$AM$13,BM.medicao)&gt;0),O71/$I71*100,0))</f>
        <v>0</v>
      </c>
      <c r="M71" s="380">
        <f ca="1">IF($A71="S",VTOTALBM,IF($A71=0,0,ROUND(SomaAgrupBM,15-13*ORÇAMENTO!$AF$11)))</f>
        <v>0</v>
      </c>
      <c r="N71" s="381">
        <f ca="1">O71-M71</f>
        <v>0</v>
      </c>
      <c r="O71" s="127">
        <f ca="1">IF($A71="S",VTOTALBM,IF($A71=0,0,ROUND(SomaAgrupBM,15-13*ORÇAMENTO!$AF$11)))</f>
        <v>0</v>
      </c>
      <c r="Q71" s="382"/>
      <c r="R71" s="383"/>
      <c r="T71" s="119" t="str">
        <f ca="1">IF($W71&gt;0,$D71,"")</f>
        <v/>
      </c>
      <c r="U71" s="172" t="str">
        <f ca="1">IF($W71&gt;0,$E71,"")</f>
        <v/>
      </c>
      <c r="V71" s="173" t="str">
        <f ca="1">IF(AND($W71&gt;0,RegimeExecucao="Unitário"),$F71,"")</f>
        <v/>
      </c>
      <c r="W71" s="547">
        <f ca="1">IF($Y71&gt;0,CHOOSE(MATCH(RegimeExecucao,{"Unitário","Global"},0),IF($A71="S",$Y71/$X71,""),($Y71/$X71)*100),0)</f>
        <v>0</v>
      </c>
      <c r="X71" s="384" t="str">
        <f ca="1">IF($Y71&gt;0,CHOOSE(MATCH(RegimeExecucao,{"Unitário","Global"},0),IF($A71="S",ROUND($H71,ORÇAMENTO!$AF$10),""),ROUND($I71,ORÇAMENTO!$AF$11)),"")</f>
        <v/>
      </c>
      <c r="Y71" s="384">
        <f ca="1">AO71-O71</f>
        <v>0</v>
      </c>
      <c r="Z71" s="572"/>
      <c r="AB71" s="382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383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38.25" x14ac:dyDescent="0.2">
      <c r="A72" t="str">
        <f ca="1">ORÇAMENTO!C72</f>
        <v>S</v>
      </c>
      <c r="B72">
        <f ca="1">ORÇAMENTO!D72</f>
        <v>0</v>
      </c>
      <c r="C72" s="116" t="str">
        <f t="shared" ca="1" si="1"/>
        <v>F</v>
      </c>
      <c r="D72" s="119" t="str">
        <f ca="1">ORÇAMENTO!O72</f>
        <v>5.1.1.</v>
      </c>
      <c r="E72" s="172" t="str">
        <f t="shared" ca="1" si="2"/>
        <v xml:space="preserve">TRAMA DE AÇO COMPOSTA POR TERÇAS PARA TELHADOS DE ATÉ 2 ÁGUAS PARA TELHA METÁLICA, INCLUSO TRANSPORTE E PINTURA </v>
      </c>
      <c r="F72" s="173" t="str">
        <f ca="1">IF(RegimeExecucao="Global","",ORÇAMENTO.Unidade)</f>
        <v xml:space="preserve">UN </v>
      </c>
      <c r="G72" s="124">
        <f ca="1">IF(RegimeExecucao="Global","",ORÇAMENTO!T72)</f>
        <v>12</v>
      </c>
      <c r="H72" s="124">
        <f ca="1">IF(RegimeExecucao="Global","",ORÇAMENTO!W72)</f>
        <v>1130.78</v>
      </c>
      <c r="I72" s="127">
        <f ca="1">ORÇAMENTO!X72</f>
        <v>13569.36</v>
      </c>
      <c r="J72" s="378">
        <f ca="1">IF($A72="S",IF(CAIXA.Modo,BM.AFAnterior,BM.MEDAnterior),IF(AND(RegimeExecucao="Global",$I72&gt;0,COUNTIF($AB$13:$AM$13,BM.medicao-1)&gt;0),M72/$I72*100,0))</f>
        <v>0</v>
      </c>
      <c r="K72" s="124">
        <f t="shared" ca="1" si="3"/>
        <v>0</v>
      </c>
      <c r="L72" s="379">
        <f ca="1">IF($A72="S",IF(CAIXA.Modo,BM.AFAcumulado,BM.MEDAcumulado),IF(AND(RegimeExecucao="Global",$I72&gt;0,COUNTIF($AB$13:$AM$13,BM.medicao)&gt;0),O72/$I72*100,0))</f>
        <v>0</v>
      </c>
      <c r="M72" s="380">
        <f ca="1">IF($A72="S",VTOTALBM,IF($A72=0,0,ROUND(SomaAgrupBM,15-13*ORÇAMENTO!$AF$11)))</f>
        <v>0</v>
      </c>
      <c r="N72" s="381">
        <f t="shared" ca="1" si="4"/>
        <v>0</v>
      </c>
      <c r="O72" s="127">
        <f ca="1">IF($A72="S",VTOTALBM,IF($A72=0,0,ROUND(SomaAgrupBM,15-13*ORÇAMENTO!$AF$11)))</f>
        <v>0</v>
      </c>
      <c r="Q72" s="382"/>
      <c r="R72" s="383"/>
      <c r="T72" s="119" t="str">
        <f t="shared" ca="1" si="5"/>
        <v/>
      </c>
      <c r="U72" s="172" t="str">
        <f t="shared" ca="1" si="6"/>
        <v/>
      </c>
      <c r="V72" s="173" t="str">
        <f ca="1">IF(AND($W72&gt;0,RegimeExecucao="Unitário"),$F72,"")</f>
        <v/>
      </c>
      <c r="W72" s="547">
        <f ca="1">IF($Y72&gt;0,CHOOSE(MATCH(RegimeExecucao,{"Unitário","Global"},0),IF($A72="S",$Y72/$X72,""),($Y72/$X72)*100),0)</f>
        <v>0</v>
      </c>
      <c r="X72" s="384" t="str">
        <f ca="1">IF($Y72&gt;0,CHOOSE(MATCH(RegimeExecucao,{"Unitário","Global"},0),IF($A72="S",ROUND($H72,ORÇAMENTO!$AF$10),""),ROUND($I72,ORÇAMENTO!$AF$11)),"")</f>
        <v/>
      </c>
      <c r="Y72" s="384">
        <f t="shared" ca="1" si="7"/>
        <v>0</v>
      </c>
      <c r="Z72" s="572"/>
      <c r="AB72" s="382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383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ht="25.5" x14ac:dyDescent="0.2">
      <c r="A73" t="str">
        <f ca="1">ORÇAMENTO!C73</f>
        <v>S</v>
      </c>
      <c r="B73">
        <f ca="1">ORÇAMENTO!D73</f>
        <v>0</v>
      </c>
      <c r="C73" s="116" t="str">
        <f t="shared" ca="1" si="1"/>
        <v>F</v>
      </c>
      <c r="D73" s="119" t="str">
        <f ca="1">ORÇAMENTO!O73</f>
        <v>5.1.2.</v>
      </c>
      <c r="E73" s="172" t="str">
        <f t="shared" si="2"/>
        <v>TELHAMENTO COM TELHA DE AÇO/ALUMINIO E=0,5MM, COM ATE 2 ÁGUAS, INCLUSO IÇAMENTO E CUMEEIRA</v>
      </c>
      <c r="F73" s="173" t="str">
        <f ca="1">IF(RegimeExecucao="Global","",ORÇAMENTO.Unidade)</f>
        <v>M2</v>
      </c>
      <c r="G73" s="124">
        <f ca="1">IF(RegimeExecucao="Global","",ORÇAMENTO!T73)</f>
        <v>240.24</v>
      </c>
      <c r="H73" s="124">
        <f ca="1">IF(RegimeExecucao="Global","",ORÇAMENTO!W73)</f>
        <v>101.14</v>
      </c>
      <c r="I73" s="127">
        <f ca="1">ORÇAMENTO!X73</f>
        <v>24297.87</v>
      </c>
      <c r="J73" s="378">
        <f ca="1">IF($A73="S",IF(CAIXA.Modo,BM.AFAnterior,BM.MEDAnterior),IF(AND(RegimeExecucao="Global",$I73&gt;0,COUNTIF($AB$13:$AM$13,BM.medicao-1)&gt;0),M73/$I73*100,0))</f>
        <v>0</v>
      </c>
      <c r="K73" s="124">
        <f t="shared" ca="1" si="3"/>
        <v>0</v>
      </c>
      <c r="L73" s="379">
        <f ca="1">IF($A73="S",IF(CAIXA.Modo,BM.AFAcumulado,BM.MEDAcumulado),IF(AND(RegimeExecucao="Global",$I73&gt;0,COUNTIF($AB$13:$AM$13,BM.medicao)&gt;0),O73/$I73*100,0))</f>
        <v>0</v>
      </c>
      <c r="M73" s="380">
        <f ca="1">IF($A73="S",VTOTALBM,IF($A73=0,0,ROUND(SomaAgrupBM,15-13*ORÇAMENTO!$AF$11)))</f>
        <v>0</v>
      </c>
      <c r="N73" s="381">
        <f t="shared" ca="1" si="4"/>
        <v>0</v>
      </c>
      <c r="O73" s="127">
        <f ca="1">IF($A73="S",VTOTALBM,IF($A73=0,0,ROUND(SomaAgrupBM,15-13*ORÇAMENTO!$AF$11)))</f>
        <v>0</v>
      </c>
      <c r="Q73" s="382"/>
      <c r="R73" s="383"/>
      <c r="T73" s="119" t="str">
        <f t="shared" ca="1" si="5"/>
        <v/>
      </c>
      <c r="U73" s="172" t="str">
        <f t="shared" ca="1" si="6"/>
        <v/>
      </c>
      <c r="V73" s="173" t="str">
        <f ca="1">IF(AND($W73&gt;0,RegimeExecucao="Unitário"),$F73,"")</f>
        <v/>
      </c>
      <c r="W73" s="547">
        <f ca="1">IF($Y73&gt;0,CHOOSE(MATCH(RegimeExecucao,{"Unitário","Global"},0),IF($A73="S",$Y73/$X73,""),($Y73/$X73)*100),0)</f>
        <v>0</v>
      </c>
      <c r="X73" s="384" t="str">
        <f ca="1">IF($Y73&gt;0,CHOOSE(MATCH(RegimeExecucao,{"Unitário","Global"},0),IF($A73="S",ROUND($H73,ORÇAMENTO!$AF$10),""),ROUND($I73,ORÇAMENTO!$AF$11)),"")</f>
        <v/>
      </c>
      <c r="Y73" s="384">
        <f t="shared" ca="1" si="7"/>
        <v>0</v>
      </c>
      <c r="Z73" s="572"/>
      <c r="AB73" s="382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383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ht="25.5" x14ac:dyDescent="0.2">
      <c r="A74" t="str">
        <f ca="1">ORÇAMENTO!C74</f>
        <v>S</v>
      </c>
      <c r="B74">
        <f ca="1">ORÇAMENTO!D74</f>
        <v>0</v>
      </c>
      <c r="C74" s="116" t="str">
        <f ca="1">IF(OR($I74&gt;0,$A74=1,$A74=2,$A74=3,$A74=4),"F","")</f>
        <v>F</v>
      </c>
      <c r="D74" s="119" t="str">
        <f ca="1">ORÇAMENTO!O74</f>
        <v>5.1.3.</v>
      </c>
      <c r="E74" s="172" t="str">
        <f t="shared" ref="E74:E83" ca="1" si="34">ORÇAMENTO.Descricao</f>
        <v>RUFO INTERNO/EXTERNO DE CHAPA DE ACO GALVANIZADA NUM 24, CORTE 25 CM</v>
      </c>
      <c r="F74" s="173" t="str">
        <f ca="1">IF(RegimeExecucao="Global","",ORÇAMENTO.Unidade)</f>
        <v>M</v>
      </c>
      <c r="G74" s="124">
        <f ca="1">IF(RegimeExecucao="Global","",ORÇAMENTO!T74)</f>
        <v>4.3</v>
      </c>
      <c r="H74" s="124">
        <f ca="1">IF(RegimeExecucao="Global","",ORÇAMENTO!W74)</f>
        <v>32.18</v>
      </c>
      <c r="I74" s="127">
        <f ca="1">ORÇAMENTO!X74</f>
        <v>138.37</v>
      </c>
      <c r="J74" s="378">
        <f ca="1">IF($A74="S",IF(CAIXA.Modo,BM.AFAnterior,BM.MEDAnterior),IF(AND(RegimeExecucao="Global",$I74&gt;0,COUNTIF($AB$13:$AM$13,BM.medicao-1)&gt;0),M74/$I74*100,0))</f>
        <v>0</v>
      </c>
      <c r="K74" s="124">
        <f ca="1">L74-J74</f>
        <v>0</v>
      </c>
      <c r="L74" s="379">
        <f ca="1">IF($A74="S",IF(CAIXA.Modo,BM.AFAcumulado,BM.MEDAcumulado),IF(AND(RegimeExecucao="Global",$I74&gt;0,COUNTIF($AB$13:$AM$13,BM.medicao)&gt;0),O74/$I74*100,0))</f>
        <v>0</v>
      </c>
      <c r="M74" s="380">
        <f ca="1">IF($A74="S",VTOTALBM,IF($A74=0,0,ROUND(SomaAgrupBM,15-13*ORÇAMENTO!$AF$11)))</f>
        <v>0</v>
      </c>
      <c r="N74" s="381">
        <f ca="1">O74-M74</f>
        <v>0</v>
      </c>
      <c r="O74" s="127">
        <f ca="1">IF($A74="S",VTOTALBM,IF($A74=0,0,ROUND(SomaAgrupBM,15-13*ORÇAMENTO!$AF$11)))</f>
        <v>0</v>
      </c>
      <c r="Q74" s="382"/>
      <c r="R74" s="383"/>
      <c r="T74" s="119" t="str">
        <f ca="1">IF($W74&gt;0,$D74,"")</f>
        <v/>
      </c>
      <c r="U74" s="172" t="str">
        <f ca="1">IF($W74&gt;0,$E74,"")</f>
        <v/>
      </c>
      <c r="V74" s="173" t="str">
        <f ca="1">IF(AND($W74&gt;0,RegimeExecucao="Unitário"),$F74,"")</f>
        <v/>
      </c>
      <c r="W74" s="547">
        <f ca="1">IF($Y74&gt;0,CHOOSE(MATCH(RegimeExecucao,{"Unitário","Global"},0),IF($A74="S",$Y74/$X74,""),($Y74/$X74)*100),0)</f>
        <v>0</v>
      </c>
      <c r="X74" s="384" t="str">
        <f ca="1">IF($Y74&gt;0,CHOOSE(MATCH(RegimeExecucao,{"Unitário","Global"},0),IF($A74="S",ROUND($H74,ORÇAMENTO!$AF$10),""),ROUND($I74,ORÇAMENTO!$AF$11)),"")</f>
        <v/>
      </c>
      <c r="Y74" s="384">
        <f ca="1">AO74-O74</f>
        <v>0</v>
      </c>
      <c r="Z74" s="572"/>
      <c r="AB74" s="382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383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ht="38.25" x14ac:dyDescent="0.2">
      <c r="A75" t="str">
        <f ca="1">ORÇAMENTO!C75</f>
        <v>S</v>
      </c>
      <c r="B75">
        <f ca="1">ORÇAMENTO!D75</f>
        <v>0</v>
      </c>
      <c r="C75" s="116" t="str">
        <f ca="1">IF(OR($I75&gt;0,$A75=1,$A75=2,$A75=3,$A75=4),"F","")</f>
        <v>F</v>
      </c>
      <c r="D75" s="119" t="str">
        <f ca="1">ORÇAMENTO!O75</f>
        <v>5.1.4.</v>
      </c>
      <c r="E75" s="172" t="str">
        <f t="shared" ca="1" si="34"/>
        <v>LAJE PRÉ-MOLDADA UNIDIRECIONAL, BIAPOIADA, PARA FORRO, ENCHIMENTO EM CERÂMICA, VIGOTA TRELIÇADA, ALTURA TOTAL DA LAJE "LT" = 12 CM (ENCHIMENTO+CAPA) = (8+4). AF_08/2025</v>
      </c>
      <c r="F75" s="173" t="str">
        <f ca="1">IF(RegimeExecucao="Global","",ORÇAMENTO.Unidade)</f>
        <v>M2</v>
      </c>
      <c r="G75" s="124">
        <f ca="1">IF(RegimeExecucao="Global","",ORÇAMENTO!T75)</f>
        <v>5.58</v>
      </c>
      <c r="H75" s="124">
        <f ca="1">IF(RegimeExecucao="Global","",ORÇAMENTO!W75)</f>
        <v>284.82</v>
      </c>
      <c r="I75" s="127">
        <f ca="1">ORÇAMENTO!X75</f>
        <v>1589.3</v>
      </c>
      <c r="J75" s="378">
        <f ca="1">IF($A75="S",IF(CAIXA.Modo,BM.AFAnterior,BM.MEDAnterior),IF(AND(RegimeExecucao="Global",$I75&gt;0,COUNTIF($AB$13:$AM$13,BM.medicao-1)&gt;0),M75/$I75*100,0))</f>
        <v>0</v>
      </c>
      <c r="K75" s="124">
        <f ca="1">L75-J75</f>
        <v>0</v>
      </c>
      <c r="L75" s="379">
        <f ca="1">IF($A75="S",IF(CAIXA.Modo,BM.AFAcumulado,BM.MEDAcumulado),IF(AND(RegimeExecucao="Global",$I75&gt;0,COUNTIF($AB$13:$AM$13,BM.medicao)&gt;0),O75/$I75*100,0))</f>
        <v>0</v>
      </c>
      <c r="M75" s="380">
        <f ca="1">IF($A75="S",VTOTALBM,IF($A75=0,0,ROUND(SomaAgrupBM,15-13*ORÇAMENTO!$AF$11)))</f>
        <v>0</v>
      </c>
      <c r="N75" s="381">
        <f ca="1">O75-M75</f>
        <v>0</v>
      </c>
      <c r="O75" s="127">
        <f ca="1">IF($A75="S",VTOTALBM,IF($A75=0,0,ROUND(SomaAgrupBM,15-13*ORÇAMENTO!$AF$11)))</f>
        <v>0</v>
      </c>
      <c r="Q75" s="382"/>
      <c r="R75" s="383"/>
      <c r="T75" s="119" t="str">
        <f ca="1">IF($W75&gt;0,$D75,"")</f>
        <v/>
      </c>
      <c r="U75" s="172" t="str">
        <f ca="1">IF($W75&gt;0,$E75,"")</f>
        <v/>
      </c>
      <c r="V75" s="173" t="str">
        <f ca="1">IF(AND($W75&gt;0,RegimeExecucao="Unitário"),$F75,"")</f>
        <v/>
      </c>
      <c r="W75" s="547">
        <f ca="1">IF($Y75&gt;0,CHOOSE(MATCH(RegimeExecucao,{"Unitário","Global"},0),IF($A75="S",$Y75/$X75,""),($Y75/$X75)*100),0)</f>
        <v>0</v>
      </c>
      <c r="X75" s="384" t="str">
        <f ca="1">IF($Y75&gt;0,CHOOSE(MATCH(RegimeExecucao,{"Unitário","Global"},0),IF($A75="S",ROUND($H75,ORÇAMENTO!$AF$10),""),ROUND($I75,ORÇAMENTO!$AF$11)),"")</f>
        <v/>
      </c>
      <c r="Y75" s="384">
        <f ca="1">AO75-O75</f>
        <v>0</v>
      </c>
      <c r="Z75" s="572"/>
      <c r="AB75" s="382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383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x14ac:dyDescent="0.2">
      <c r="A76" t="str">
        <f ca="1">ORÇAMENTO!C76</f>
        <v>S</v>
      </c>
      <c r="B76">
        <f ca="1">ORÇAMENTO!D76</f>
        <v>0</v>
      </c>
      <c r="C76" s="116" t="str">
        <f ca="1">IF(OR($I76&gt;0,$A76=1,$A76=2,$A76=3,$A76=4),"F","")</f>
        <v>F</v>
      </c>
      <c r="D76" s="119" t="str">
        <f ca="1">ORÇAMENTO!O76</f>
        <v>5.1.5.</v>
      </c>
      <c r="E76" s="172" t="str">
        <f t="shared" ca="1" si="34"/>
        <v>FECHAMENTO METÁLICO VERTICAL</v>
      </c>
      <c r="F76" s="173" t="str">
        <f ca="1">IF(RegimeExecucao="Global","",ORÇAMENTO.Unidade)</f>
        <v>M2</v>
      </c>
      <c r="G76" s="124">
        <f ca="1">IF(RegimeExecucao="Global","",ORÇAMENTO!T76)</f>
        <v>56.76</v>
      </c>
      <c r="H76" s="124">
        <f ca="1">IF(RegimeExecucao="Global","",ORÇAMENTO!W76)</f>
        <v>101.14</v>
      </c>
      <c r="I76" s="127">
        <f ca="1">ORÇAMENTO!X76</f>
        <v>5740.71</v>
      </c>
      <c r="J76" s="378">
        <f ca="1">IF($A76="S",IF(CAIXA.Modo,BM.AFAnterior,BM.MEDAnterior),IF(AND(RegimeExecucao="Global",$I76&gt;0,COUNTIF($AB$13:$AM$13,BM.medicao-1)&gt;0),M76/$I76*100,0))</f>
        <v>0</v>
      </c>
      <c r="K76" s="124">
        <f ca="1">L76-J76</f>
        <v>0</v>
      </c>
      <c r="L76" s="379">
        <f ca="1">IF($A76="S",IF(CAIXA.Modo,BM.AFAcumulado,BM.MEDAcumulado),IF(AND(RegimeExecucao="Global",$I76&gt;0,COUNTIF($AB$13:$AM$13,BM.medicao)&gt;0),O76/$I76*100,0))</f>
        <v>0</v>
      </c>
      <c r="M76" s="380">
        <f ca="1">IF($A76="S",VTOTALBM,IF($A76=0,0,ROUND(SomaAgrupBM,15-13*ORÇAMENTO!$AF$11)))</f>
        <v>0</v>
      </c>
      <c r="N76" s="381">
        <f ca="1">O76-M76</f>
        <v>0</v>
      </c>
      <c r="O76" s="127">
        <f ca="1">IF($A76="S",VTOTALBM,IF($A76=0,0,ROUND(SomaAgrupBM,15-13*ORÇAMENTO!$AF$11)))</f>
        <v>0</v>
      </c>
      <c r="Q76" s="382"/>
      <c r="R76" s="383"/>
      <c r="T76" s="119" t="str">
        <f ca="1">IF($W76&gt;0,$D76,"")</f>
        <v/>
      </c>
      <c r="U76" s="172" t="str">
        <f ca="1">IF($W76&gt;0,$E76,"")</f>
        <v/>
      </c>
      <c r="V76" s="173" t="str">
        <f ca="1">IF(AND($W76&gt;0,RegimeExecucao="Unitário"),$F76,"")</f>
        <v/>
      </c>
      <c r="W76" s="547">
        <f ca="1">IF($Y76&gt;0,CHOOSE(MATCH(RegimeExecucao,{"Unitário","Global"},0),IF($A76="S",$Y76/$X76,""),($Y76/$X76)*100),0)</f>
        <v>0</v>
      </c>
      <c r="X76" s="384" t="str">
        <f ca="1">IF($Y76&gt;0,CHOOSE(MATCH(RegimeExecucao,{"Unitário","Global"},0),IF($A76="S",ROUND($H76,ORÇAMENTO!$AF$10),""),ROUND($I76,ORÇAMENTO!$AF$11)),"")</f>
        <v/>
      </c>
      <c r="Y76" s="384">
        <f ca="1">AO76-O76</f>
        <v>0</v>
      </c>
      <c r="Z76" s="572"/>
      <c r="AB76" s="382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383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x14ac:dyDescent="0.2">
      <c r="A77">
        <f ca="1">ORÇAMENTO!C77</f>
        <v>2</v>
      </c>
      <c r="B77">
        <f ca="1">ORÇAMENTO!D77</f>
        <v>3</v>
      </c>
      <c r="C77" s="116" t="str">
        <f t="shared" ref="C77:C79" ca="1" si="35">IF(OR($I77&gt;0,$A77=1,$A77=2,$A77=3,$A77=4),"F","")</f>
        <v>F</v>
      </c>
      <c r="D77" s="119" t="str">
        <f ca="1">ORÇAMENTO!O77</f>
        <v>5.2.</v>
      </c>
      <c r="E77" s="172" t="str">
        <f t="shared" si="34"/>
        <v xml:space="preserve">FORRO </v>
      </c>
      <c r="F77" s="173" t="str">
        <f ca="1">IF(RegimeExecucao="Global","",ORÇAMENTO.Unidade)</f>
        <v>-</v>
      </c>
      <c r="G77" s="124">
        <f ca="1">IF(RegimeExecucao="Global","",ORÇAMENTO!T77)</f>
        <v>0</v>
      </c>
      <c r="H77" s="124">
        <f ca="1">IF(RegimeExecucao="Global","",ORÇAMENTO!W77)</f>
        <v>0</v>
      </c>
      <c r="I77" s="127">
        <f ca="1">ORÇAMENTO!X77</f>
        <v>6661.24</v>
      </c>
      <c r="J77" s="378">
        <f ca="1">IF($A77="S",IF(CAIXA.Modo,BM.AFAnterior,BM.MEDAnterior),IF(AND(RegimeExecucao="Global",$I77&gt;0,COUNTIF($AB$13:$AM$13,BM.medicao-1)&gt;0),M77/$I77*100,0))</f>
        <v>0</v>
      </c>
      <c r="K77" s="124">
        <f t="shared" ref="K77:K79" ca="1" si="36">L77-J77</f>
        <v>0</v>
      </c>
      <c r="L77" s="379">
        <f ca="1">IF($A77="S",IF(CAIXA.Modo,BM.AFAcumulado,BM.MEDAcumulado),IF(AND(RegimeExecucao="Global",$I77&gt;0,COUNTIF($AB$13:$AM$13,BM.medicao)&gt;0),O77/$I77*100,0))</f>
        <v>0</v>
      </c>
      <c r="M77" s="380">
        <f ca="1">IF($A77="S",VTOTALBM,IF($A77=0,0,ROUND(SomaAgrupBM,15-13*ORÇAMENTO!$AF$11)))</f>
        <v>0</v>
      </c>
      <c r="N77" s="381">
        <f t="shared" ref="N77:N79" ca="1" si="37">O77-M77</f>
        <v>0</v>
      </c>
      <c r="O77" s="127">
        <f ca="1">IF($A77="S",VTOTALBM,IF($A77=0,0,ROUND(SomaAgrupBM,15-13*ORÇAMENTO!$AF$11)))</f>
        <v>0</v>
      </c>
      <c r="Q77" s="382"/>
      <c r="R77" s="383"/>
      <c r="T77" s="119" t="str">
        <f t="shared" ref="T77:T79" ca="1" si="38">IF($W77&gt;0,$D77,"")</f>
        <v/>
      </c>
      <c r="U77" s="172" t="str">
        <f t="shared" ref="U77:U79" ca="1" si="39">IF($W77&gt;0,$E77,"")</f>
        <v/>
      </c>
      <c r="V77" s="173" t="str">
        <f ca="1">IF(AND($W77&gt;0,RegimeExecucao="Unitário"),$F77,"")</f>
        <v/>
      </c>
      <c r="W77" s="547">
        <f ca="1">IF($Y77&gt;0,CHOOSE(MATCH(RegimeExecucao,{"Unitário","Global"},0),IF($A77="S",$Y77/$X77,""),($Y77/$X77)*100),0)</f>
        <v>0</v>
      </c>
      <c r="X77" s="384" t="str">
        <f ca="1">IF($Y77&gt;0,CHOOSE(MATCH(RegimeExecucao,{"Unitário","Global"},0),IF($A77="S",ROUND($H77,ORÇAMENTO!$AF$10),""),ROUND($I77,ORÇAMENTO!$AF$11)),"")</f>
        <v/>
      </c>
      <c r="Y77" s="384">
        <f t="shared" ref="Y77:Y79" ca="1" si="40">AO77-O77</f>
        <v>0</v>
      </c>
      <c r="Z77" s="572"/>
      <c r="AB77" s="382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383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ht="38.25" x14ac:dyDescent="0.2">
      <c r="A78" t="str">
        <f ca="1">ORÇAMENTO!C78</f>
        <v>S</v>
      </c>
      <c r="B78">
        <f ca="1">ORÇAMENTO!D78</f>
        <v>0</v>
      </c>
      <c r="C78" s="116" t="str">
        <f t="shared" ca="1" si="35"/>
        <v>F</v>
      </c>
      <c r="D78" s="119" t="str">
        <f ca="1">ORÇAMENTO!O78</f>
        <v>5.2.1.</v>
      </c>
      <c r="E78" s="172" t="str">
        <f t="shared" ca="1" si="34"/>
        <v>FORRO EM RÉGUAS DE PVC, FRISADO, PARA AMBIENTES RESIDENCIAIS, INCLUSIVE ESTRUTURA UNIDIRECIONAL DE FIXAÇÃO. AF_08/2023_PS</v>
      </c>
      <c r="F78" s="173" t="str">
        <f ca="1">IF(RegimeExecucao="Global","",ORÇAMENTO.Unidade)</f>
        <v>M2</v>
      </c>
      <c r="G78" s="124">
        <f ca="1">IF(RegimeExecucao="Global","",ORÇAMENTO!T78)</f>
        <v>71.010000000000005</v>
      </c>
      <c r="H78" s="124">
        <f ca="1">IF(RegimeExecucao="Global","",ORÇAMENTO!W78)</f>
        <v>87.47</v>
      </c>
      <c r="I78" s="127">
        <f ca="1">ORÇAMENTO!X78</f>
        <v>6211.24</v>
      </c>
      <c r="J78" s="378">
        <f ca="1">IF($A78="S",IF(CAIXA.Modo,BM.AFAnterior,BM.MEDAnterior),IF(AND(RegimeExecucao="Global",$I78&gt;0,COUNTIF($AB$13:$AM$13,BM.medicao-1)&gt;0),M78/$I78*100,0))</f>
        <v>0</v>
      </c>
      <c r="K78" s="124">
        <f t="shared" ca="1" si="36"/>
        <v>0</v>
      </c>
      <c r="L78" s="379">
        <f ca="1">IF($A78="S",IF(CAIXA.Modo,BM.AFAcumulado,BM.MEDAcumulado),IF(AND(RegimeExecucao="Global",$I78&gt;0,COUNTIF($AB$13:$AM$13,BM.medicao)&gt;0),O78/$I78*100,0))</f>
        <v>0</v>
      </c>
      <c r="M78" s="380">
        <f ca="1">IF($A78="S",VTOTALBM,IF($A78=0,0,ROUND(SomaAgrupBM,15-13*ORÇAMENTO!$AF$11)))</f>
        <v>0</v>
      </c>
      <c r="N78" s="381">
        <f t="shared" ca="1" si="37"/>
        <v>0</v>
      </c>
      <c r="O78" s="127">
        <f ca="1">IF($A78="S",VTOTALBM,IF($A78=0,0,ROUND(SomaAgrupBM,15-13*ORÇAMENTO!$AF$11)))</f>
        <v>0</v>
      </c>
      <c r="Q78" s="382"/>
      <c r="R78" s="383"/>
      <c r="T78" s="119" t="str">
        <f t="shared" ca="1" si="38"/>
        <v/>
      </c>
      <c r="U78" s="172" t="str">
        <f t="shared" ca="1" si="39"/>
        <v/>
      </c>
      <c r="V78" s="173" t="str">
        <f ca="1">IF(AND($W78&gt;0,RegimeExecucao="Unitário"),$F78,"")</f>
        <v/>
      </c>
      <c r="W78" s="547">
        <f ca="1">IF($Y78&gt;0,CHOOSE(MATCH(RegimeExecucao,{"Unitário","Global"},0),IF($A78="S",$Y78/$X78,""),($Y78/$X78)*100),0)</f>
        <v>0</v>
      </c>
      <c r="X78" s="384" t="str">
        <f ca="1">IF($Y78&gt;0,CHOOSE(MATCH(RegimeExecucao,{"Unitário","Global"},0),IF($A78="S",ROUND($H78,ORÇAMENTO!$AF$10),""),ROUND($I78,ORÇAMENTO!$AF$11)),"")</f>
        <v/>
      </c>
      <c r="Y78" s="384">
        <f t="shared" ca="1" si="40"/>
        <v>0</v>
      </c>
      <c r="Z78" s="572"/>
      <c r="AB78" s="382"/>
      <c r="AC78" s="516"/>
      <c r="AD78" s="516"/>
      <c r="AE78" s="516"/>
      <c r="AF78" s="516"/>
      <c r="AG78" s="516"/>
      <c r="AH78" s="516"/>
      <c r="AI78" s="516"/>
      <c r="AJ78" s="516"/>
      <c r="AK78" s="516"/>
      <c r="AL78" s="516"/>
      <c r="AM78" s="383"/>
      <c r="AO78">
        <f ca="1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spans="1:41" x14ac:dyDescent="0.2">
      <c r="A79" t="str">
        <f ca="1">ORÇAMENTO!C79</f>
        <v>S</v>
      </c>
      <c r="B79">
        <f ca="1">ORÇAMENTO!D79</f>
        <v>0</v>
      </c>
      <c r="C79" s="116" t="str">
        <f t="shared" ca="1" si="35"/>
        <v>F</v>
      </c>
      <c r="D79" s="119" t="str">
        <f ca="1">ORÇAMENTO!O79</f>
        <v>5.2.2.</v>
      </c>
      <c r="E79" s="172" t="str">
        <f t="shared" ca="1" si="34"/>
        <v>RODAFORRO EM PVC, PARA FORRO DE PVC, COMPRIMENTO 6 M</v>
      </c>
      <c r="F79" s="173" t="str">
        <f ca="1">IF(RegimeExecucao="Global","",ORÇAMENTO.Unidade)</f>
        <v>M</v>
      </c>
      <c r="G79" s="124">
        <f ca="1">IF(RegimeExecucao="Global","",ORÇAMENTO!T79)</f>
        <v>72</v>
      </c>
      <c r="H79" s="124">
        <f ca="1">IF(RegimeExecucao="Global","",ORÇAMENTO!W79)</f>
        <v>6.25</v>
      </c>
      <c r="I79" s="127">
        <f ca="1">ORÇAMENTO!X79</f>
        <v>450</v>
      </c>
      <c r="J79" s="378">
        <f ca="1">IF($A79="S",IF(CAIXA.Modo,BM.AFAnterior,BM.MEDAnterior),IF(AND(RegimeExecucao="Global",$I79&gt;0,COUNTIF($AB$13:$AM$13,BM.medicao-1)&gt;0),M79/$I79*100,0))</f>
        <v>0</v>
      </c>
      <c r="K79" s="124">
        <f t="shared" ca="1" si="36"/>
        <v>0</v>
      </c>
      <c r="L79" s="379">
        <f ca="1">IF($A79="S",IF(CAIXA.Modo,BM.AFAcumulado,BM.MEDAcumulado),IF(AND(RegimeExecucao="Global",$I79&gt;0,COUNTIF($AB$13:$AM$13,BM.medicao)&gt;0),O79/$I79*100,0))</f>
        <v>0</v>
      </c>
      <c r="M79" s="380">
        <f ca="1">IF($A79="S",VTOTALBM,IF($A79=0,0,ROUND(SomaAgrupBM,15-13*ORÇAMENTO!$AF$11)))</f>
        <v>0</v>
      </c>
      <c r="N79" s="381">
        <f t="shared" ca="1" si="37"/>
        <v>0</v>
      </c>
      <c r="O79" s="127">
        <f ca="1">IF($A79="S",VTOTALBM,IF($A79=0,0,ROUND(SomaAgrupBM,15-13*ORÇAMENTO!$AF$11)))</f>
        <v>0</v>
      </c>
      <c r="Q79" s="382"/>
      <c r="R79" s="383"/>
      <c r="T79" s="119" t="str">
        <f t="shared" ca="1" si="38"/>
        <v/>
      </c>
      <c r="U79" s="172" t="str">
        <f t="shared" ca="1" si="39"/>
        <v/>
      </c>
      <c r="V79" s="173" t="str">
        <f ca="1">IF(AND($W79&gt;0,RegimeExecucao="Unitário"),$F79,"")</f>
        <v/>
      </c>
      <c r="W79" s="547">
        <f ca="1">IF($Y79&gt;0,CHOOSE(MATCH(RegimeExecucao,{"Unitário","Global"},0),IF($A79="S",$Y79/$X79,""),($Y79/$X79)*100),0)</f>
        <v>0</v>
      </c>
      <c r="X79" s="384" t="str">
        <f ca="1">IF($Y79&gt;0,CHOOSE(MATCH(RegimeExecucao,{"Unitário","Global"},0),IF($A79="S",ROUND($H79,ORÇAMENTO!$AF$10),""),ROUND($I79,ORÇAMENTO!$AF$11)),"")</f>
        <v/>
      </c>
      <c r="Y79" s="384">
        <f t="shared" ca="1" si="40"/>
        <v>0</v>
      </c>
      <c r="Z79" s="572"/>
      <c r="AB79" s="382"/>
      <c r="AC79" s="516"/>
      <c r="AD79" s="516"/>
      <c r="AE79" s="516"/>
      <c r="AF79" s="516"/>
      <c r="AG79" s="516"/>
      <c r="AH79" s="516"/>
      <c r="AI79" s="516"/>
      <c r="AJ79" s="516"/>
      <c r="AK79" s="516"/>
      <c r="AL79" s="516"/>
      <c r="AM79" s="383"/>
      <c r="AO79">
        <f ca="1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spans="1:41" x14ac:dyDescent="0.2">
      <c r="A80">
        <f ca="1">ORÇAMENTO!C80</f>
        <v>1</v>
      </c>
      <c r="B80">
        <f ca="1">ORÇAMENTO!D80</f>
        <v>36</v>
      </c>
      <c r="C80" s="116" t="str">
        <f ca="1">IF(OR($I80&gt;0,$A80=1,$A80=2,$A80=3,$A80=4),"F","")</f>
        <v>F</v>
      </c>
      <c r="D80" s="119" t="str">
        <f ca="1">ORÇAMENTO!O80</f>
        <v>6.</v>
      </c>
      <c r="E80" s="172" t="str">
        <f>ORÇAMENTO.Descricao</f>
        <v>SERVIÇOS COMPLEMENTARES</v>
      </c>
      <c r="F80" s="173" t="str">
        <f ca="1">IF(RegimeExecucao="Global","",ORÇAMENTO.Unidade)</f>
        <v>-</v>
      </c>
      <c r="G80" s="124">
        <f ca="1">IF(RegimeExecucao="Global","",ORÇAMENTO!T80)</f>
        <v>0</v>
      </c>
      <c r="H80" s="124">
        <f ca="1">IF(RegimeExecucao="Global","",ORÇAMENTO!W80)</f>
        <v>0</v>
      </c>
      <c r="I80" s="127">
        <f ca="1">ORÇAMENTO!X80</f>
        <v>28243.64</v>
      </c>
      <c r="J80" s="378">
        <f ca="1">IF($A80="S",IF(CAIXA.Modo,BM.AFAnterior,BM.MEDAnterior),IF(AND(RegimeExecucao="Global",$I80&gt;0,COUNTIF($AB$13:$AM$13,BM.medicao-1)&gt;0),M80/$I80*100,0))</f>
        <v>0</v>
      </c>
      <c r="K80" s="124">
        <f ca="1">L80-J80</f>
        <v>0</v>
      </c>
      <c r="L80" s="379">
        <f ca="1">IF($A80="S",IF(CAIXA.Modo,BM.AFAcumulado,BM.MEDAcumulado),IF(AND(RegimeExecucao="Global",$I80&gt;0,COUNTIF($AB$13:$AM$13,BM.medicao)&gt;0),O80/$I80*100,0))</f>
        <v>0</v>
      </c>
      <c r="M80" s="380">
        <f ca="1">IF($A80="S",VTOTALBM,IF($A80=0,0,ROUND(SomaAgrupBM,15-13*ORÇAMENTO!$AF$11)))</f>
        <v>0</v>
      </c>
      <c r="N80" s="381">
        <f ca="1">O80-M80</f>
        <v>0</v>
      </c>
      <c r="O80" s="127">
        <f ca="1">IF($A80="S",VTOTALBM,IF($A80=0,0,ROUND(SomaAgrupBM,15-13*ORÇAMENTO!$AF$11)))</f>
        <v>0</v>
      </c>
      <c r="Q80" s="382"/>
      <c r="R80" s="383"/>
      <c r="T80" s="119" t="str">
        <f ca="1">IF($W80&gt;0,$D80,"")</f>
        <v/>
      </c>
      <c r="U80" s="172" t="str">
        <f ca="1">IF($W80&gt;0,$E80,"")</f>
        <v/>
      </c>
      <c r="V80" s="173" t="str">
        <f ca="1">IF(AND($W80&gt;0,RegimeExecucao="Unitário"),$F80,"")</f>
        <v/>
      </c>
      <c r="W80" s="547">
        <f ca="1">IF($Y80&gt;0,CHOOSE(MATCH(RegimeExecucao,{"Unitário","Global"},0),IF($A80="S",$Y80/$X80,""),($Y80/$X80)*100),0)</f>
        <v>0</v>
      </c>
      <c r="X80" s="384" t="str">
        <f ca="1">IF($Y80&gt;0,CHOOSE(MATCH(RegimeExecucao,{"Unitário","Global"},0),IF($A80="S",ROUND($H80,ORÇAMENTO!$AF$10),""),ROUND($I80,ORÇAMENTO!$AF$11)),"")</f>
        <v/>
      </c>
      <c r="Y80" s="384">
        <f ca="1">AO80-O80</f>
        <v>0</v>
      </c>
      <c r="Z80" s="572"/>
      <c r="AB80" s="382"/>
      <c r="AC80" s="516"/>
      <c r="AD80" s="516"/>
      <c r="AE80" s="516"/>
      <c r="AF80" s="516"/>
      <c r="AG80" s="516"/>
      <c r="AH80" s="516"/>
      <c r="AI80" s="516"/>
      <c r="AJ80" s="516"/>
      <c r="AK80" s="516"/>
      <c r="AL80" s="516"/>
      <c r="AM80" s="383"/>
      <c r="AO80">
        <f ca="1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spans="1:41" x14ac:dyDescent="0.2">
      <c r="A81">
        <f ca="1">ORÇAMENTO!C81</f>
        <v>2</v>
      </c>
      <c r="B81">
        <f ca="1">ORÇAMENTO!D81</f>
        <v>3</v>
      </c>
      <c r="C81" s="116" t="str">
        <f t="shared" ref="C81:C83" ca="1" si="41">IF(OR($I81&gt;0,$A81=1,$A81=2,$A81=3,$A81=4),"F","")</f>
        <v>F</v>
      </c>
      <c r="D81" s="119" t="str">
        <f ca="1">ORÇAMENTO!O81</f>
        <v>6.1.</v>
      </c>
      <c r="E81" s="172" t="str">
        <f t="shared" si="34"/>
        <v>RAMAL DE ENTRADA DE ENERGIA</v>
      </c>
      <c r="F81" s="173" t="str">
        <f ca="1">IF(RegimeExecucao="Global","",ORÇAMENTO.Unidade)</f>
        <v>-</v>
      </c>
      <c r="G81" s="124">
        <f ca="1">IF(RegimeExecucao="Global","",ORÇAMENTO!T81)</f>
        <v>0</v>
      </c>
      <c r="H81" s="124">
        <f ca="1">IF(RegimeExecucao="Global","",ORÇAMENTO!W81)</f>
        <v>0</v>
      </c>
      <c r="I81" s="127">
        <f ca="1">ORÇAMENTO!X81</f>
        <v>4252.87</v>
      </c>
      <c r="J81" s="378">
        <f ca="1">IF($A81="S",IF(CAIXA.Modo,BM.AFAnterior,BM.MEDAnterior),IF(AND(RegimeExecucao="Global",$I81&gt;0,COUNTIF($AB$13:$AM$13,BM.medicao-1)&gt;0),M81/$I81*100,0))</f>
        <v>0</v>
      </c>
      <c r="K81" s="124">
        <f t="shared" ref="K81:K83" ca="1" si="42">L81-J81</f>
        <v>0</v>
      </c>
      <c r="L81" s="379">
        <f ca="1">IF($A81="S",IF(CAIXA.Modo,BM.AFAcumulado,BM.MEDAcumulado),IF(AND(RegimeExecucao="Global",$I81&gt;0,COUNTIF($AB$13:$AM$13,BM.medicao)&gt;0),O81/$I81*100,0))</f>
        <v>0</v>
      </c>
      <c r="M81" s="380">
        <f ca="1">IF($A81="S",VTOTALBM,IF($A81=0,0,ROUND(SomaAgrupBM,15-13*ORÇAMENTO!$AF$11)))</f>
        <v>0</v>
      </c>
      <c r="N81" s="381">
        <f t="shared" ref="N81:N83" ca="1" si="43">O81-M81</f>
        <v>0</v>
      </c>
      <c r="O81" s="127">
        <f ca="1">IF($A81="S",VTOTALBM,IF($A81=0,0,ROUND(SomaAgrupBM,15-13*ORÇAMENTO!$AF$11)))</f>
        <v>0</v>
      </c>
      <c r="Q81" s="382"/>
      <c r="R81" s="383"/>
      <c r="T81" s="119" t="str">
        <f t="shared" ref="T81:T83" ca="1" si="44">IF($W81&gt;0,$D81,"")</f>
        <v/>
      </c>
      <c r="U81" s="172" t="str">
        <f t="shared" ref="U81:U83" ca="1" si="45">IF($W81&gt;0,$E81,"")</f>
        <v/>
      </c>
      <c r="V81" s="173" t="str">
        <f ca="1">IF(AND($W81&gt;0,RegimeExecucao="Unitário"),$F81,"")</f>
        <v/>
      </c>
      <c r="W81" s="547">
        <f ca="1">IF($Y81&gt;0,CHOOSE(MATCH(RegimeExecucao,{"Unitário","Global"},0),IF($A81="S",$Y81/$X81,""),($Y81/$X81)*100),0)</f>
        <v>0</v>
      </c>
      <c r="X81" s="384" t="str">
        <f ca="1">IF($Y81&gt;0,CHOOSE(MATCH(RegimeExecucao,{"Unitário","Global"},0),IF($A81="S",ROUND($H81,ORÇAMENTO!$AF$10),""),ROUND($I81,ORÇAMENTO!$AF$11)),"")</f>
        <v/>
      </c>
      <c r="Y81" s="384">
        <f t="shared" ref="Y81:Y83" ca="1" si="46">AO81-O81</f>
        <v>0</v>
      </c>
      <c r="Z81" s="572"/>
      <c r="AB81" s="382"/>
      <c r="AC81" s="516"/>
      <c r="AD81" s="516"/>
      <c r="AE81" s="516"/>
      <c r="AF81" s="516"/>
      <c r="AG81" s="516"/>
      <c r="AH81" s="516"/>
      <c r="AI81" s="516"/>
      <c r="AJ81" s="516"/>
      <c r="AK81" s="516"/>
      <c r="AL81" s="516"/>
      <c r="AM81" s="383"/>
      <c r="AO81">
        <f ca="1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spans="1:41" ht="38.25" x14ac:dyDescent="0.2">
      <c r="A82" t="str">
        <f ca="1">ORÇAMENTO!C82</f>
        <v>S</v>
      </c>
      <c r="B82">
        <f ca="1">ORÇAMENTO!D82</f>
        <v>0</v>
      </c>
      <c r="C82" s="116" t="str">
        <f t="shared" ca="1" si="41"/>
        <v>F</v>
      </c>
      <c r="D82" s="119" t="str">
        <f ca="1">ORÇAMENTO!O82</f>
        <v>6.1.1.</v>
      </c>
      <c r="E82" s="172" t="str">
        <f t="shared" ca="1" si="34"/>
        <v>ENTRADA DE ENERGIA ELÉTRICA, AÉREA, BIFÁSICA, COM CAIXA DE EMBUTIR, CABO DE 10 MM2 E DISJUNTOR DIN 50A (NÃO INCLUSO O POSTE DE CONCRETO). AF_12/2025</v>
      </c>
      <c r="F82" s="173" t="str">
        <f ca="1">IF(RegimeExecucao="Global","",ORÇAMENTO.Unidade)</f>
        <v>UN</v>
      </c>
      <c r="G82" s="124">
        <f ca="1">IF(RegimeExecucao="Global","",ORÇAMENTO!T82)</f>
        <v>1</v>
      </c>
      <c r="H82" s="124">
        <f ca="1">IF(RegimeExecucao="Global","",ORÇAMENTO!W82)</f>
        <v>2721.62</v>
      </c>
      <c r="I82" s="127">
        <f ca="1">ORÇAMENTO!X82</f>
        <v>2721.62</v>
      </c>
      <c r="J82" s="378">
        <f ca="1">IF($A82="S",IF(CAIXA.Modo,BM.AFAnterior,BM.MEDAnterior),IF(AND(RegimeExecucao="Global",$I82&gt;0,COUNTIF($AB$13:$AM$13,BM.medicao-1)&gt;0),M82/$I82*100,0))</f>
        <v>0</v>
      </c>
      <c r="K82" s="124">
        <f t="shared" ca="1" si="42"/>
        <v>0</v>
      </c>
      <c r="L82" s="379">
        <f ca="1">IF($A82="S",IF(CAIXA.Modo,BM.AFAcumulado,BM.MEDAcumulado),IF(AND(RegimeExecucao="Global",$I82&gt;0,COUNTIF($AB$13:$AM$13,BM.medicao)&gt;0),O82/$I82*100,0))</f>
        <v>0</v>
      </c>
      <c r="M82" s="380">
        <f ca="1">IF($A82="S",VTOTALBM,IF($A82=0,0,ROUND(SomaAgrupBM,15-13*ORÇAMENTO!$AF$11)))</f>
        <v>0</v>
      </c>
      <c r="N82" s="381">
        <f t="shared" ca="1" si="43"/>
        <v>0</v>
      </c>
      <c r="O82" s="127">
        <f ca="1">IF($A82="S",VTOTALBM,IF($A82=0,0,ROUND(SomaAgrupBM,15-13*ORÇAMENTO!$AF$11)))</f>
        <v>0</v>
      </c>
      <c r="Q82" s="382"/>
      <c r="R82" s="383"/>
      <c r="T82" s="119" t="str">
        <f t="shared" ca="1" si="44"/>
        <v/>
      </c>
      <c r="U82" s="172" t="str">
        <f t="shared" ca="1" si="45"/>
        <v/>
      </c>
      <c r="V82" s="173" t="str">
        <f ca="1">IF(AND($W82&gt;0,RegimeExecucao="Unitário"),$F82,"")</f>
        <v/>
      </c>
      <c r="W82" s="547">
        <f ca="1">IF($Y82&gt;0,CHOOSE(MATCH(RegimeExecucao,{"Unitário","Global"},0),IF($A82="S",$Y82/$X82,""),($Y82/$X82)*100),0)</f>
        <v>0</v>
      </c>
      <c r="X82" s="384" t="str">
        <f ca="1">IF($Y82&gt;0,CHOOSE(MATCH(RegimeExecucao,{"Unitário","Global"},0),IF($A82="S",ROUND($H82,ORÇAMENTO!$AF$10),""),ROUND($I82,ORÇAMENTO!$AF$11)),"")</f>
        <v/>
      </c>
      <c r="Y82" s="384">
        <f t="shared" ca="1" si="46"/>
        <v>0</v>
      </c>
      <c r="Z82" s="572"/>
      <c r="AB82" s="382"/>
      <c r="AC82" s="516"/>
      <c r="AD82" s="516"/>
      <c r="AE82" s="516"/>
      <c r="AF82" s="516"/>
      <c r="AG82" s="516"/>
      <c r="AH82" s="516"/>
      <c r="AI82" s="516"/>
      <c r="AJ82" s="516"/>
      <c r="AK82" s="516"/>
      <c r="AL82" s="516"/>
      <c r="AM82" s="383"/>
      <c r="AO82">
        <f ca="1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spans="1:41" x14ac:dyDescent="0.2">
      <c r="A83" t="str">
        <f ca="1">ORÇAMENTO!C83</f>
        <v>S</v>
      </c>
      <c r="B83">
        <f ca="1">ORÇAMENTO!D83</f>
        <v>0</v>
      </c>
      <c r="C83" s="116" t="str">
        <f t="shared" ca="1" si="41"/>
        <v>F</v>
      </c>
      <c r="D83" s="119" t="str">
        <f ca="1">ORÇAMENTO!O83</f>
        <v>6.1.2.</v>
      </c>
      <c r="E83" s="172" t="str">
        <f t="shared" ca="1" si="34"/>
        <v>POSTE DE CONCRETO PADRÃO CELESC</v>
      </c>
      <c r="F83" s="173" t="str">
        <f ca="1">IF(RegimeExecucao="Global","",ORÇAMENTO.Unidade)</f>
        <v>UN</v>
      </c>
      <c r="G83" s="124">
        <f ca="1">IF(RegimeExecucao="Global","",ORÇAMENTO!T83)</f>
        <v>1</v>
      </c>
      <c r="H83" s="124">
        <f ca="1">IF(RegimeExecucao="Global","",ORÇAMENTO!W83)</f>
        <v>1531.25</v>
      </c>
      <c r="I83" s="127">
        <f ca="1">ORÇAMENTO!X83</f>
        <v>1531.25</v>
      </c>
      <c r="J83" s="378">
        <f ca="1">IF($A83="S",IF(CAIXA.Modo,BM.AFAnterior,BM.MEDAnterior),IF(AND(RegimeExecucao="Global",$I83&gt;0,COUNTIF($AB$13:$AM$13,BM.medicao-1)&gt;0),M83/$I83*100,0))</f>
        <v>0</v>
      </c>
      <c r="K83" s="124">
        <f t="shared" ca="1" si="42"/>
        <v>0</v>
      </c>
      <c r="L83" s="379">
        <f ca="1">IF($A83="S",IF(CAIXA.Modo,BM.AFAcumulado,BM.MEDAcumulado),IF(AND(RegimeExecucao="Global",$I83&gt;0,COUNTIF($AB$13:$AM$13,BM.medicao)&gt;0),O83/$I83*100,0))</f>
        <v>0</v>
      </c>
      <c r="M83" s="380">
        <f ca="1">IF($A83="S",VTOTALBM,IF($A83=0,0,ROUND(SomaAgrupBM,15-13*ORÇAMENTO!$AF$11)))</f>
        <v>0</v>
      </c>
      <c r="N83" s="381">
        <f t="shared" ca="1" si="43"/>
        <v>0</v>
      </c>
      <c r="O83" s="127">
        <f ca="1">IF($A83="S",VTOTALBM,IF($A83=0,0,ROUND(SomaAgrupBM,15-13*ORÇAMENTO!$AF$11)))</f>
        <v>0</v>
      </c>
      <c r="Q83" s="382"/>
      <c r="R83" s="383"/>
      <c r="T83" s="119" t="str">
        <f t="shared" ca="1" si="44"/>
        <v/>
      </c>
      <c r="U83" s="172" t="str">
        <f t="shared" ca="1" si="45"/>
        <v/>
      </c>
      <c r="V83" s="173" t="str">
        <f ca="1">IF(AND($W83&gt;0,RegimeExecucao="Unitário"),$F83,"")</f>
        <v/>
      </c>
      <c r="W83" s="547">
        <f ca="1">IF($Y83&gt;0,CHOOSE(MATCH(RegimeExecucao,{"Unitário","Global"},0),IF($A83="S",$Y83/$X83,""),($Y83/$X83)*100),0)</f>
        <v>0</v>
      </c>
      <c r="X83" s="384" t="str">
        <f ca="1">IF($Y83&gt;0,CHOOSE(MATCH(RegimeExecucao,{"Unitário","Global"},0),IF($A83="S",ROUND($H83,ORÇAMENTO!$AF$10),""),ROUND($I83,ORÇAMENTO!$AF$11)),"")</f>
        <v/>
      </c>
      <c r="Y83" s="384">
        <f t="shared" ca="1" si="46"/>
        <v>0</v>
      </c>
      <c r="Z83" s="572"/>
      <c r="AB83" s="382"/>
      <c r="AC83" s="516"/>
      <c r="AD83" s="516"/>
      <c r="AE83" s="516"/>
      <c r="AF83" s="516"/>
      <c r="AG83" s="516"/>
      <c r="AH83" s="516"/>
      <c r="AI83" s="516"/>
      <c r="AJ83" s="516"/>
      <c r="AK83" s="516"/>
      <c r="AL83" s="516"/>
      <c r="AM83" s="383"/>
      <c r="AO83">
        <f ca="1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spans="1:41" x14ac:dyDescent="0.2">
      <c r="A84">
        <f ca="1">ORÇAMENTO!C84</f>
        <v>2</v>
      </c>
      <c r="B84">
        <f ca="1">ORÇAMENTO!D84</f>
        <v>14</v>
      </c>
      <c r="C84" s="116" t="str">
        <f t="shared" ca="1" si="1"/>
        <v>F</v>
      </c>
      <c r="D84" s="119" t="str">
        <f ca="1">ORÇAMENTO!O84</f>
        <v>6.2.</v>
      </c>
      <c r="E84" s="172" t="str">
        <f t="shared" si="2"/>
        <v>INSTALAÇÕES ELÉTRICAS</v>
      </c>
      <c r="F84" s="173" t="str">
        <f ca="1">IF(RegimeExecucao="Global","",ORÇAMENTO.Unidade)</f>
        <v>-</v>
      </c>
      <c r="G84" s="124">
        <f ca="1">IF(RegimeExecucao="Global","",ORÇAMENTO!T84)</f>
        <v>0</v>
      </c>
      <c r="H84" s="124">
        <f ca="1">IF(RegimeExecucao="Global","",ORÇAMENTO!W84)</f>
        <v>0</v>
      </c>
      <c r="I84" s="127">
        <f ca="1">ORÇAMENTO!X84</f>
        <v>7512.4</v>
      </c>
      <c r="J84" s="378">
        <f ca="1">IF($A84="S",IF(CAIXA.Modo,BM.AFAnterior,BM.MEDAnterior),IF(AND(RegimeExecucao="Global",$I84&gt;0,COUNTIF($AB$13:$AM$13,BM.medicao-1)&gt;0),M84/$I84*100,0))</f>
        <v>0</v>
      </c>
      <c r="K84" s="124">
        <f t="shared" ca="1" si="3"/>
        <v>0</v>
      </c>
      <c r="L84" s="379">
        <f ca="1">IF($A84="S",IF(CAIXA.Modo,BM.AFAcumulado,BM.MEDAcumulado),IF(AND(RegimeExecucao="Global",$I84&gt;0,COUNTIF($AB$13:$AM$13,BM.medicao)&gt;0),O84/$I84*100,0))</f>
        <v>0</v>
      </c>
      <c r="M84" s="380">
        <f ca="1">IF($A84="S",VTOTALBM,IF($A84=0,0,ROUND(SomaAgrupBM,15-13*ORÇAMENTO!$AF$11)))</f>
        <v>0</v>
      </c>
      <c r="N84" s="381">
        <f t="shared" ca="1" si="4"/>
        <v>0</v>
      </c>
      <c r="O84" s="127">
        <f ca="1">IF($A84="S",VTOTALBM,IF($A84=0,0,ROUND(SomaAgrupBM,15-13*ORÇAMENTO!$AF$11)))</f>
        <v>0</v>
      </c>
      <c r="Q84" s="382"/>
      <c r="R84" s="383"/>
      <c r="T84" s="119" t="str">
        <f t="shared" ca="1" si="5"/>
        <v/>
      </c>
      <c r="U84" s="172" t="str">
        <f t="shared" ca="1" si="6"/>
        <v/>
      </c>
      <c r="V84" s="173" t="str">
        <f ca="1">IF(AND($W84&gt;0,RegimeExecucao="Unitário"),$F84,"")</f>
        <v/>
      </c>
      <c r="W84" s="547">
        <f ca="1">IF($Y84&gt;0,CHOOSE(MATCH(RegimeExecucao,{"Unitário","Global"},0),IF($A84="S",$Y84/$X84,""),($Y84/$X84)*100),0)</f>
        <v>0</v>
      </c>
      <c r="X84" s="384" t="str">
        <f ca="1">IF($Y84&gt;0,CHOOSE(MATCH(RegimeExecucao,{"Unitário","Global"},0),IF($A84="S",ROUND($H84,ORÇAMENTO!$AF$10),""),ROUND($I84,ORÇAMENTO!$AF$11)),"")</f>
        <v/>
      </c>
      <c r="Y84" s="384">
        <f t="shared" ca="1" si="7"/>
        <v>0</v>
      </c>
      <c r="Z84" s="572"/>
      <c r="AB84" s="382"/>
      <c r="AC84" s="516"/>
      <c r="AD84" s="516"/>
      <c r="AE84" s="516"/>
      <c r="AF84" s="516"/>
      <c r="AG84" s="516"/>
      <c r="AH84" s="516"/>
      <c r="AI84" s="516"/>
      <c r="AJ84" s="516"/>
      <c r="AK84" s="516"/>
      <c r="AL84" s="516"/>
      <c r="AM84" s="383"/>
      <c r="AO84">
        <f ca="1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spans="1:41" ht="38.25" x14ac:dyDescent="0.2">
      <c r="A85" t="str">
        <f ca="1">ORÇAMENTO!C85</f>
        <v>S</v>
      </c>
      <c r="B85">
        <f ca="1">ORÇAMENTO!D85</f>
        <v>0</v>
      </c>
      <c r="C85" s="116" t="str">
        <f t="shared" ca="1" si="1"/>
        <v>F</v>
      </c>
      <c r="D85" s="119" t="str">
        <f ca="1">ORÇAMENTO!O85</f>
        <v>6.2.1.</v>
      </c>
      <c r="E85" s="172" t="str">
        <f t="shared" ca="1" si="2"/>
        <v>ELETRODUTO FLEXÍVEL CORRUGADO, PVC, DN 20 MM (1/2"), PARA CIRCUITOS TERMINAIS, INSTALADO EM PAREDE - FORNECIMENTO E INSTALAÇÃO. AF_03/2023</v>
      </c>
      <c r="F85" s="173" t="str">
        <f ca="1">IF(RegimeExecucao="Global","",ORÇAMENTO.Unidade)</f>
        <v>M</v>
      </c>
      <c r="G85" s="124">
        <f ca="1">IF(RegimeExecucao="Global","",ORÇAMENTO!T85)</f>
        <v>60</v>
      </c>
      <c r="H85" s="124">
        <f ca="1">IF(RegimeExecucao="Global","",ORÇAMENTO!W85)</f>
        <v>14.37</v>
      </c>
      <c r="I85" s="127">
        <f ca="1">ORÇAMENTO!X85</f>
        <v>862.2</v>
      </c>
      <c r="J85" s="378">
        <f ca="1">IF($A85="S",IF(CAIXA.Modo,BM.AFAnterior,BM.MEDAnterior),IF(AND(RegimeExecucao="Global",$I85&gt;0,COUNTIF($AB$13:$AM$13,BM.medicao-1)&gt;0),M85/$I85*100,0))</f>
        <v>0</v>
      </c>
      <c r="K85" s="124">
        <f t="shared" ca="1" si="3"/>
        <v>0</v>
      </c>
      <c r="L85" s="379">
        <f ca="1">IF($A85="S",IF(CAIXA.Modo,BM.AFAcumulado,BM.MEDAcumulado),IF(AND(RegimeExecucao="Global",$I85&gt;0,COUNTIF($AB$13:$AM$13,BM.medicao)&gt;0),O85/$I85*100,0))</f>
        <v>0</v>
      </c>
      <c r="M85" s="380">
        <f ca="1">IF($A85="S",VTOTALBM,IF($A85=0,0,ROUND(SomaAgrupBM,15-13*ORÇAMENTO!$AF$11)))</f>
        <v>0</v>
      </c>
      <c r="N85" s="381">
        <f t="shared" ca="1" si="4"/>
        <v>0</v>
      </c>
      <c r="O85" s="127">
        <f ca="1">IF($A85="S",VTOTALBM,IF($A85=0,0,ROUND(SomaAgrupBM,15-13*ORÇAMENTO!$AF$11)))</f>
        <v>0</v>
      </c>
      <c r="Q85" s="382"/>
      <c r="R85" s="383"/>
      <c r="T85" s="119" t="str">
        <f t="shared" ca="1" si="5"/>
        <v/>
      </c>
      <c r="U85" s="172" t="str">
        <f t="shared" ca="1" si="6"/>
        <v/>
      </c>
      <c r="V85" s="173" t="str">
        <f ca="1">IF(AND($W85&gt;0,RegimeExecucao="Unitário"),$F85,"")</f>
        <v/>
      </c>
      <c r="W85" s="547">
        <f ca="1">IF($Y85&gt;0,CHOOSE(MATCH(RegimeExecucao,{"Unitário","Global"},0),IF($A85="S",$Y85/$X85,""),($Y85/$X85)*100),0)</f>
        <v>0</v>
      </c>
      <c r="X85" s="384" t="str">
        <f ca="1">IF($Y85&gt;0,CHOOSE(MATCH(RegimeExecucao,{"Unitário","Global"},0),IF($A85="S",ROUND($H85,ORÇAMENTO!$AF$10),""),ROUND($I85,ORÇAMENTO!$AF$11)),"")</f>
        <v/>
      </c>
      <c r="Y85" s="384">
        <f t="shared" ca="1" si="7"/>
        <v>0</v>
      </c>
      <c r="Z85" s="572"/>
      <c r="AB85" s="382"/>
      <c r="AC85" s="516"/>
      <c r="AD85" s="516"/>
      <c r="AE85" s="516"/>
      <c r="AF85" s="516"/>
      <c r="AG85" s="516"/>
      <c r="AH85" s="516"/>
      <c r="AI85" s="516"/>
      <c r="AJ85" s="516"/>
      <c r="AK85" s="516"/>
      <c r="AL85" s="516"/>
      <c r="AM85" s="383"/>
      <c r="AO85">
        <f ca="1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spans="1:41" ht="38.25" x14ac:dyDescent="0.2">
      <c r="A86" t="str">
        <f ca="1">ORÇAMENTO!C86</f>
        <v>S</v>
      </c>
      <c r="B86">
        <f ca="1">ORÇAMENTO!D86</f>
        <v>0</v>
      </c>
      <c r="C86" s="116" t="str">
        <f t="shared" ca="1" si="1"/>
        <v>F</v>
      </c>
      <c r="D86" s="119" t="str">
        <f ca="1">ORÇAMENTO!O86</f>
        <v>6.2.2.</v>
      </c>
      <c r="E86" s="172" t="str">
        <f t="shared" ca="1" si="2"/>
        <v>QUADRO DE DISTRIBUICAO, EM PVC, DE EMBUTIR, COM BARRAMENTO TERRA / NEUTRO, PARA 12 DISJUNTORES NEMA OU 16 DISJUNTORES DIN</v>
      </c>
      <c r="F86" s="173" t="str">
        <f ca="1">IF(RegimeExecucao="Global","",ORÇAMENTO.Unidade)</f>
        <v>UN</v>
      </c>
      <c r="G86" s="124">
        <f ca="1">IF(RegimeExecucao="Global","",ORÇAMENTO!T86)</f>
        <v>1</v>
      </c>
      <c r="H86" s="124">
        <f ca="1">IF(RegimeExecucao="Global","",ORÇAMENTO!W86)</f>
        <v>282.24</v>
      </c>
      <c r="I86" s="127">
        <f ca="1">ORÇAMENTO!X86</f>
        <v>282.24</v>
      </c>
      <c r="J86" s="378">
        <f ca="1">IF($A86="S",IF(CAIXA.Modo,BM.AFAnterior,BM.MEDAnterior),IF(AND(RegimeExecucao="Global",$I86&gt;0,COUNTIF($AB$13:$AM$13,BM.medicao-1)&gt;0),M86/$I86*100,0))</f>
        <v>0</v>
      </c>
      <c r="K86" s="124">
        <f t="shared" ca="1" si="3"/>
        <v>0</v>
      </c>
      <c r="L86" s="379">
        <f ca="1">IF($A86="S",IF(CAIXA.Modo,BM.AFAcumulado,BM.MEDAcumulado),IF(AND(RegimeExecucao="Global",$I86&gt;0,COUNTIF($AB$13:$AM$13,BM.medicao)&gt;0),O86/$I86*100,0))</f>
        <v>0</v>
      </c>
      <c r="M86" s="380">
        <f ca="1">IF($A86="S",VTOTALBM,IF($A86=0,0,ROUND(SomaAgrupBM,15-13*ORÇAMENTO!$AF$11)))</f>
        <v>0</v>
      </c>
      <c r="N86" s="381">
        <f t="shared" ca="1" si="4"/>
        <v>0</v>
      </c>
      <c r="O86" s="127">
        <f ca="1">IF($A86="S",VTOTALBM,IF($A86=0,0,ROUND(SomaAgrupBM,15-13*ORÇAMENTO!$AF$11)))</f>
        <v>0</v>
      </c>
      <c r="Q86" s="382"/>
      <c r="R86" s="383"/>
      <c r="T86" s="119" t="str">
        <f t="shared" ca="1" si="5"/>
        <v/>
      </c>
      <c r="U86" s="172" t="str">
        <f t="shared" ca="1" si="6"/>
        <v/>
      </c>
      <c r="V86" s="173" t="str">
        <f ca="1">IF(AND($W86&gt;0,RegimeExecucao="Unitário"),$F86,"")</f>
        <v/>
      </c>
      <c r="W86" s="547">
        <f ca="1">IF($Y86&gt;0,CHOOSE(MATCH(RegimeExecucao,{"Unitário","Global"},0),IF($A86="S",$Y86/$X86,""),($Y86/$X86)*100),0)</f>
        <v>0</v>
      </c>
      <c r="X86" s="384" t="str">
        <f ca="1">IF($Y86&gt;0,CHOOSE(MATCH(RegimeExecucao,{"Unitário","Global"},0),IF($A86="S",ROUND($H86,ORÇAMENTO!$AF$10),""),ROUND($I86,ORÇAMENTO!$AF$11)),"")</f>
        <v/>
      </c>
      <c r="Y86" s="384">
        <f t="shared" ca="1" si="7"/>
        <v>0</v>
      </c>
      <c r="Z86" s="572"/>
      <c r="AB86" s="382"/>
      <c r="AC86" s="516"/>
      <c r="AD86" s="516"/>
      <c r="AE86" s="516"/>
      <c r="AF86" s="516"/>
      <c r="AG86" s="516"/>
      <c r="AH86" s="516"/>
      <c r="AI86" s="516"/>
      <c r="AJ86" s="516"/>
      <c r="AK86" s="516"/>
      <c r="AL86" s="516"/>
      <c r="AM86" s="383"/>
      <c r="AO86">
        <f ca="1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spans="1:41" ht="25.5" x14ac:dyDescent="0.2">
      <c r="A87" t="str">
        <f ca="1">ORÇAMENTO!C87</f>
        <v>S</v>
      </c>
      <c r="B87">
        <f ca="1">ORÇAMENTO!D87</f>
        <v>0</v>
      </c>
      <c r="C87" s="116" t="str">
        <f t="shared" ca="1" si="1"/>
        <v>F</v>
      </c>
      <c r="D87" s="119" t="str">
        <f ca="1">ORÇAMENTO!O87</f>
        <v>6.2.3.</v>
      </c>
      <c r="E87" s="172" t="str">
        <f t="shared" ca="1" si="2"/>
        <v>DISJUNTOR BIPOLAR TIPO DIN, CORRENTE NOMINAL DE 32A - FORNECIMENTO E INSTALAÇÃO. AF_07/2025</v>
      </c>
      <c r="F87" s="173" t="str">
        <f ca="1">IF(RegimeExecucao="Global","",ORÇAMENTO.Unidade)</f>
        <v>UN</v>
      </c>
      <c r="G87" s="124">
        <f ca="1">IF(RegimeExecucao="Global","",ORÇAMENTO!T87)</f>
        <v>5</v>
      </c>
      <c r="H87" s="124">
        <f ca="1">IF(RegimeExecucao="Global","",ORÇAMENTO!W87)</f>
        <v>79.760000000000005</v>
      </c>
      <c r="I87" s="127">
        <f ca="1">ORÇAMENTO!X87</f>
        <v>398.8</v>
      </c>
      <c r="J87" s="378">
        <f ca="1">IF($A87="S",IF(CAIXA.Modo,BM.AFAnterior,BM.MEDAnterior),IF(AND(RegimeExecucao="Global",$I87&gt;0,COUNTIF($AB$13:$AM$13,BM.medicao-1)&gt;0),M87/$I87*100,0))</f>
        <v>0</v>
      </c>
      <c r="K87" s="124">
        <f t="shared" ca="1" si="3"/>
        <v>0</v>
      </c>
      <c r="L87" s="379">
        <f ca="1">IF($A87="S",IF(CAIXA.Modo,BM.AFAcumulado,BM.MEDAcumulado),IF(AND(RegimeExecucao="Global",$I87&gt;0,COUNTIF($AB$13:$AM$13,BM.medicao)&gt;0),O87/$I87*100,0))</f>
        <v>0</v>
      </c>
      <c r="M87" s="380">
        <f ca="1">IF($A87="S",VTOTALBM,IF($A87=0,0,ROUND(SomaAgrupBM,15-13*ORÇAMENTO!$AF$11)))</f>
        <v>0</v>
      </c>
      <c r="N87" s="381">
        <f t="shared" ca="1" si="4"/>
        <v>0</v>
      </c>
      <c r="O87" s="127">
        <f ca="1">IF($A87="S",VTOTALBM,IF($A87=0,0,ROUND(SomaAgrupBM,15-13*ORÇAMENTO!$AF$11)))</f>
        <v>0</v>
      </c>
      <c r="Q87" s="382"/>
      <c r="R87" s="383"/>
      <c r="T87" s="119" t="str">
        <f t="shared" ca="1" si="5"/>
        <v/>
      </c>
      <c r="U87" s="172" t="str">
        <f t="shared" ca="1" si="6"/>
        <v/>
      </c>
      <c r="V87" s="173" t="str">
        <f ca="1">IF(AND($W87&gt;0,RegimeExecucao="Unitário"),$F87,"")</f>
        <v/>
      </c>
      <c r="W87" s="547">
        <f ca="1">IF($Y87&gt;0,CHOOSE(MATCH(RegimeExecucao,{"Unitário","Global"},0),IF($A87="S",$Y87/$X87,""),($Y87/$X87)*100),0)</f>
        <v>0</v>
      </c>
      <c r="X87" s="384" t="str">
        <f ca="1">IF($Y87&gt;0,CHOOSE(MATCH(RegimeExecucao,{"Unitário","Global"},0),IF($A87="S",ROUND($H87,ORÇAMENTO!$AF$10),""),ROUND($I87,ORÇAMENTO!$AF$11)),"")</f>
        <v/>
      </c>
      <c r="Y87" s="384">
        <f t="shared" ca="1" si="7"/>
        <v>0</v>
      </c>
      <c r="Z87" s="572"/>
      <c r="AB87" s="382"/>
      <c r="AC87" s="516"/>
      <c r="AD87" s="516"/>
      <c r="AE87" s="516"/>
      <c r="AF87" s="516"/>
      <c r="AG87" s="516"/>
      <c r="AH87" s="516"/>
      <c r="AI87" s="516"/>
      <c r="AJ87" s="516"/>
      <c r="AK87" s="516"/>
      <c r="AL87" s="516"/>
      <c r="AM87" s="383"/>
      <c r="AO87">
        <f ca="1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spans="1:41" ht="25.5" x14ac:dyDescent="0.2">
      <c r="A88" t="str">
        <f ca="1">ORÇAMENTO!C88</f>
        <v>S</v>
      </c>
      <c r="B88">
        <f ca="1">ORÇAMENTO!D88</f>
        <v>0</v>
      </c>
      <c r="C88" s="116" t="str">
        <f ca="1">IF(OR($I88&gt;0,$A88=1,$A88=2,$A88=3,$A88=4),"F","")</f>
        <v>F</v>
      </c>
      <c r="D88" s="119" t="str">
        <f ca="1">ORÇAMENTO!O88</f>
        <v>6.2.4.</v>
      </c>
      <c r="E88" s="172" t="str">
        <f ca="1">ORÇAMENTO.Descricao</f>
        <v>DISJUNTOR BIPOLAR TIPO DIN, CORRENTE NOMINAL DE 20A - FORNECIMENTO E INSTALAÇÃO. AF_07/2025</v>
      </c>
      <c r="F88" s="173" t="str">
        <f ca="1">IF(RegimeExecucao="Global","",ORÇAMENTO.Unidade)</f>
        <v>UN</v>
      </c>
      <c r="G88" s="124">
        <f ca="1">IF(RegimeExecucao="Global","",ORÇAMENTO!T88)</f>
        <v>2</v>
      </c>
      <c r="H88" s="124">
        <f ca="1">IF(RegimeExecucao="Global","",ORÇAMENTO!W88)</f>
        <v>71.52</v>
      </c>
      <c r="I88" s="127">
        <f ca="1">ORÇAMENTO!X88</f>
        <v>143.04</v>
      </c>
      <c r="J88" s="378">
        <f ca="1">IF($A88="S",IF(CAIXA.Modo,BM.AFAnterior,BM.MEDAnterior),IF(AND(RegimeExecucao="Global",$I88&gt;0,COUNTIF($AB$13:$AM$13,BM.medicao-1)&gt;0),M88/$I88*100,0))</f>
        <v>0</v>
      </c>
      <c r="K88" s="124">
        <f ca="1">L88-J88</f>
        <v>0</v>
      </c>
      <c r="L88" s="379">
        <f ca="1">IF($A88="S",IF(CAIXA.Modo,BM.AFAcumulado,BM.MEDAcumulado),IF(AND(RegimeExecucao="Global",$I88&gt;0,COUNTIF($AB$13:$AM$13,BM.medicao)&gt;0),O88/$I88*100,0))</f>
        <v>0</v>
      </c>
      <c r="M88" s="380">
        <f ca="1">IF($A88="S",VTOTALBM,IF($A88=0,0,ROUND(SomaAgrupBM,15-13*ORÇAMENTO!$AF$11)))</f>
        <v>0</v>
      </c>
      <c r="N88" s="381">
        <f ca="1">O88-M88</f>
        <v>0</v>
      </c>
      <c r="O88" s="127">
        <f ca="1">IF($A88="S",VTOTALBM,IF($A88=0,0,ROUND(SomaAgrupBM,15-13*ORÇAMENTO!$AF$11)))</f>
        <v>0</v>
      </c>
      <c r="Q88" s="382"/>
      <c r="R88" s="383"/>
      <c r="T88" s="119" t="str">
        <f ca="1">IF($W88&gt;0,$D88,"")</f>
        <v/>
      </c>
      <c r="U88" s="172" t="str">
        <f ca="1">IF($W88&gt;0,$E88,"")</f>
        <v/>
      </c>
      <c r="V88" s="173" t="str">
        <f ca="1">IF(AND($W88&gt;0,RegimeExecucao="Unitário"),$F88,"")</f>
        <v/>
      </c>
      <c r="W88" s="547">
        <f ca="1">IF($Y88&gt;0,CHOOSE(MATCH(RegimeExecucao,{"Unitário","Global"},0),IF($A88="S",$Y88/$X88,""),($Y88/$X88)*100),0)</f>
        <v>0</v>
      </c>
      <c r="X88" s="384" t="str">
        <f ca="1">IF($Y88&gt;0,CHOOSE(MATCH(RegimeExecucao,{"Unitário","Global"},0),IF($A88="S",ROUND($H88,ORÇAMENTO!$AF$10),""),ROUND($I88,ORÇAMENTO!$AF$11)),"")</f>
        <v/>
      </c>
      <c r="Y88" s="384">
        <f ca="1">AO88-O88</f>
        <v>0</v>
      </c>
      <c r="Z88" s="572"/>
      <c r="AB88" s="382"/>
      <c r="AC88" s="516"/>
      <c r="AD88" s="516"/>
      <c r="AE88" s="516"/>
      <c r="AF88" s="516"/>
      <c r="AG88" s="516"/>
      <c r="AH88" s="516"/>
      <c r="AI88" s="516"/>
      <c r="AJ88" s="516"/>
      <c r="AK88" s="516"/>
      <c r="AL88" s="516"/>
      <c r="AM88" s="383"/>
      <c r="AO88">
        <f ca="1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spans="1:41" ht="25.5" x14ac:dyDescent="0.2">
      <c r="A89" t="str">
        <f ca="1">ORÇAMENTO!C89</f>
        <v>S</v>
      </c>
      <c r="B89">
        <f ca="1">ORÇAMENTO!D89</f>
        <v>0</v>
      </c>
      <c r="C89" s="116" t="str">
        <f t="shared" ca="1" si="1"/>
        <v>F</v>
      </c>
      <c r="D89" s="119" t="str">
        <f ca="1">ORÇAMENTO!O89</f>
        <v>6.2.5.</v>
      </c>
      <c r="E89" s="172" t="str">
        <f t="shared" ca="1" si="2"/>
        <v>CAIXA DE PASSAGEM, EM PVC, DE 4" X 2", PARA ELETRODUTO FLEXIVEL CORRUGADO</v>
      </c>
      <c r="F89" s="173" t="str">
        <f ca="1">IF(RegimeExecucao="Global","",ORÇAMENTO.Unidade)</f>
        <v>UN</v>
      </c>
      <c r="G89" s="124">
        <f ca="1">IF(RegimeExecucao="Global","",ORÇAMENTO!T89)</f>
        <v>30</v>
      </c>
      <c r="H89" s="124">
        <f ca="1">IF(RegimeExecucao="Global","",ORÇAMENTO!W89)</f>
        <v>2.31</v>
      </c>
      <c r="I89" s="127">
        <f ca="1">ORÇAMENTO!X89</f>
        <v>69.3</v>
      </c>
      <c r="J89" s="378">
        <f ca="1">IF($A89="S",IF(CAIXA.Modo,BM.AFAnterior,BM.MEDAnterior),IF(AND(RegimeExecucao="Global",$I89&gt;0,COUNTIF($AB$13:$AM$13,BM.medicao-1)&gt;0),M89/$I89*100,0))</f>
        <v>0</v>
      </c>
      <c r="K89" s="124">
        <f t="shared" ca="1" si="3"/>
        <v>0</v>
      </c>
      <c r="L89" s="379">
        <f ca="1">IF($A89="S",IF(CAIXA.Modo,BM.AFAcumulado,BM.MEDAcumulado),IF(AND(RegimeExecucao="Global",$I89&gt;0,COUNTIF($AB$13:$AM$13,BM.medicao)&gt;0),O89/$I89*100,0))</f>
        <v>0</v>
      </c>
      <c r="M89" s="380">
        <f ca="1">IF($A89="S",VTOTALBM,IF($A89=0,0,ROUND(SomaAgrupBM,15-13*ORÇAMENTO!$AF$11)))</f>
        <v>0</v>
      </c>
      <c r="N89" s="381">
        <f t="shared" ca="1" si="4"/>
        <v>0</v>
      </c>
      <c r="O89" s="127">
        <f ca="1">IF($A89="S",VTOTALBM,IF($A89=0,0,ROUND(SomaAgrupBM,15-13*ORÇAMENTO!$AF$11)))</f>
        <v>0</v>
      </c>
      <c r="Q89" s="382"/>
      <c r="R89" s="383"/>
      <c r="T89" s="119" t="str">
        <f t="shared" ca="1" si="5"/>
        <v/>
      </c>
      <c r="U89" s="172" t="str">
        <f t="shared" ca="1" si="6"/>
        <v/>
      </c>
      <c r="V89" s="173" t="str">
        <f ca="1">IF(AND($W89&gt;0,RegimeExecucao="Unitário"),$F89,"")</f>
        <v/>
      </c>
      <c r="W89" s="547">
        <f ca="1">IF($Y89&gt;0,CHOOSE(MATCH(RegimeExecucao,{"Unitário","Global"},0),IF($A89="S",$Y89/$X89,""),($Y89/$X89)*100),0)</f>
        <v>0</v>
      </c>
      <c r="X89" s="384" t="str">
        <f ca="1">IF($Y89&gt;0,CHOOSE(MATCH(RegimeExecucao,{"Unitário","Global"},0),IF($A89="S",ROUND($H89,ORÇAMENTO!$AF$10),""),ROUND($I89,ORÇAMENTO!$AF$11)),"")</f>
        <v/>
      </c>
      <c r="Y89" s="384">
        <f t="shared" ca="1" si="7"/>
        <v>0</v>
      </c>
      <c r="Z89" s="572"/>
      <c r="AB89" s="382"/>
      <c r="AC89" s="516"/>
      <c r="AD89" s="516"/>
      <c r="AE89" s="516"/>
      <c r="AF89" s="516"/>
      <c r="AG89" s="516"/>
      <c r="AH89" s="516"/>
      <c r="AI89" s="516"/>
      <c r="AJ89" s="516"/>
      <c r="AK89" s="516"/>
      <c r="AL89" s="516"/>
      <c r="AM89" s="383"/>
      <c r="AO89">
        <f ca="1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spans="1:41" ht="25.5" x14ac:dyDescent="0.2">
      <c r="A90" t="str">
        <f ca="1">ORÇAMENTO!C90</f>
        <v>S</v>
      </c>
      <c r="B90">
        <f ca="1">ORÇAMENTO!D90</f>
        <v>0</v>
      </c>
      <c r="C90" s="116" t="str">
        <f t="shared" ca="1" si="1"/>
        <v>F</v>
      </c>
      <c r="D90" s="119" t="str">
        <f ca="1">ORÇAMENTO!O90</f>
        <v>6.2.6.</v>
      </c>
      <c r="E90" s="172" t="str">
        <f t="shared" ca="1" si="2"/>
        <v>LUMINÁRIA TIPO PLAFON CIRCULAR, DE SOBREPOR, COM LED DE 12/13 W - FORNECIMENTO E INSTALAÇÃO. AF_09/2024</v>
      </c>
      <c r="F90" s="173" t="str">
        <f ca="1">IF(RegimeExecucao="Global","",ORÇAMENTO.Unidade)</f>
        <v>UN</v>
      </c>
      <c r="G90" s="124">
        <f ca="1">IF(RegimeExecucao="Global","",ORÇAMENTO!T90)</f>
        <v>20</v>
      </c>
      <c r="H90" s="124">
        <f ca="1">IF(RegimeExecucao="Global","",ORÇAMENTO!W90)</f>
        <v>48.43</v>
      </c>
      <c r="I90" s="127">
        <f ca="1">ORÇAMENTO!X90</f>
        <v>968.6</v>
      </c>
      <c r="J90" s="378">
        <f ca="1">IF($A90="S",IF(CAIXA.Modo,BM.AFAnterior,BM.MEDAnterior),IF(AND(RegimeExecucao="Global",$I90&gt;0,COUNTIF($AB$13:$AM$13,BM.medicao-1)&gt;0),M90/$I90*100,0))</f>
        <v>0</v>
      </c>
      <c r="K90" s="124">
        <f t="shared" ca="1" si="3"/>
        <v>0</v>
      </c>
      <c r="L90" s="379">
        <f ca="1">IF($A90="S",IF(CAIXA.Modo,BM.AFAcumulado,BM.MEDAcumulado),IF(AND(RegimeExecucao="Global",$I90&gt;0,COUNTIF($AB$13:$AM$13,BM.medicao)&gt;0),O90/$I90*100,0))</f>
        <v>0</v>
      </c>
      <c r="M90" s="380">
        <f ca="1">IF($A90="S",VTOTALBM,IF($A90=0,0,ROUND(SomaAgrupBM,15-13*ORÇAMENTO!$AF$11)))</f>
        <v>0</v>
      </c>
      <c r="N90" s="381">
        <f t="shared" ca="1" si="4"/>
        <v>0</v>
      </c>
      <c r="O90" s="127">
        <f ca="1">IF($A90="S",VTOTALBM,IF($A90=0,0,ROUND(SomaAgrupBM,15-13*ORÇAMENTO!$AF$11)))</f>
        <v>0</v>
      </c>
      <c r="Q90" s="382"/>
      <c r="R90" s="383"/>
      <c r="T90" s="119" t="str">
        <f t="shared" ca="1" si="5"/>
        <v/>
      </c>
      <c r="U90" s="172" t="str">
        <f t="shared" ca="1" si="6"/>
        <v/>
      </c>
      <c r="V90" s="173" t="str">
        <f ca="1">IF(AND($W90&gt;0,RegimeExecucao="Unitário"),$F90,"")</f>
        <v/>
      </c>
      <c r="W90" s="547">
        <f ca="1">IF($Y90&gt;0,CHOOSE(MATCH(RegimeExecucao,{"Unitário","Global"},0),IF($A90="S",$Y90/$X90,""),($Y90/$X90)*100),0)</f>
        <v>0</v>
      </c>
      <c r="X90" s="384" t="str">
        <f ca="1">IF($Y90&gt;0,CHOOSE(MATCH(RegimeExecucao,{"Unitário","Global"},0),IF($A90="S",ROUND($H90,ORÇAMENTO!$AF$10),""),ROUND($I90,ORÇAMENTO!$AF$11)),"")</f>
        <v/>
      </c>
      <c r="Y90" s="384">
        <f t="shared" ca="1" si="7"/>
        <v>0</v>
      </c>
      <c r="Z90" s="572"/>
      <c r="AB90" s="382"/>
      <c r="AC90" s="516"/>
      <c r="AD90" s="516"/>
      <c r="AE90" s="516"/>
      <c r="AF90" s="516"/>
      <c r="AG90" s="516"/>
      <c r="AH90" s="516"/>
      <c r="AI90" s="516"/>
      <c r="AJ90" s="516"/>
      <c r="AK90" s="516"/>
      <c r="AL90" s="516"/>
      <c r="AM90" s="383"/>
      <c r="AO90">
        <f ca="1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spans="1:41" ht="25.5" x14ac:dyDescent="0.2">
      <c r="A91" t="str">
        <f ca="1">ORÇAMENTO!C91</f>
        <v>S</v>
      </c>
      <c r="B91">
        <f ca="1">ORÇAMENTO!D91</f>
        <v>0</v>
      </c>
      <c r="C91" s="116" t="str">
        <f ca="1">IF(OR($I91&gt;0,$A91=1,$A91=2,$A91=3,$A91=4),"F","")</f>
        <v>F</v>
      </c>
      <c r="D91" s="119" t="str">
        <f ca="1">ORÇAMENTO!O91</f>
        <v>6.2.7.</v>
      </c>
      <c r="E91" s="172" t="str">
        <f ca="1">ORÇAMENTO.Descricao</f>
        <v>LUMINARIA LED REFLETOR RETANGULAR BIVOLT, LUZ BRANCA, 50 W</v>
      </c>
      <c r="F91" s="173" t="str">
        <f ca="1">IF(RegimeExecucao="Global","",ORÇAMENTO.Unidade)</f>
        <v>UN</v>
      </c>
      <c r="G91" s="124">
        <f ca="1">IF(RegimeExecucao="Global","",ORÇAMENTO!T91)</f>
        <v>12</v>
      </c>
      <c r="H91" s="124">
        <f ca="1">IF(RegimeExecucao="Global","",ORÇAMENTO!W91)</f>
        <v>37.07</v>
      </c>
      <c r="I91" s="127">
        <f ca="1">ORÇAMENTO!X91</f>
        <v>444.84</v>
      </c>
      <c r="J91" s="378">
        <f ca="1">IF($A91="S",IF(CAIXA.Modo,BM.AFAnterior,BM.MEDAnterior),IF(AND(RegimeExecucao="Global",$I91&gt;0,COUNTIF($AB$13:$AM$13,BM.medicao-1)&gt;0),M91/$I91*100,0))</f>
        <v>0</v>
      </c>
      <c r="K91" s="124">
        <f ca="1">L91-J91</f>
        <v>0</v>
      </c>
      <c r="L91" s="379">
        <f ca="1">IF($A91="S",IF(CAIXA.Modo,BM.AFAcumulado,BM.MEDAcumulado),IF(AND(RegimeExecucao="Global",$I91&gt;0,COUNTIF($AB$13:$AM$13,BM.medicao)&gt;0),O91/$I91*100,0))</f>
        <v>0</v>
      </c>
      <c r="M91" s="380">
        <f ca="1">IF($A91="S",VTOTALBM,IF($A91=0,0,ROUND(SomaAgrupBM,15-13*ORÇAMENTO!$AF$11)))</f>
        <v>0</v>
      </c>
      <c r="N91" s="381">
        <f ca="1">O91-M91</f>
        <v>0</v>
      </c>
      <c r="O91" s="127">
        <f ca="1">IF($A91="S",VTOTALBM,IF($A91=0,0,ROUND(SomaAgrupBM,15-13*ORÇAMENTO!$AF$11)))</f>
        <v>0</v>
      </c>
      <c r="Q91" s="382"/>
      <c r="R91" s="383"/>
      <c r="T91" s="119" t="str">
        <f ca="1">IF($W91&gt;0,$D91,"")</f>
        <v/>
      </c>
      <c r="U91" s="172" t="str">
        <f ca="1">IF($W91&gt;0,$E91,"")</f>
        <v/>
      </c>
      <c r="V91" s="173" t="str">
        <f ca="1">IF(AND($W91&gt;0,RegimeExecucao="Unitário"),$F91,"")</f>
        <v/>
      </c>
      <c r="W91" s="547">
        <f ca="1">IF($Y91&gt;0,CHOOSE(MATCH(RegimeExecucao,{"Unitário","Global"},0),IF($A91="S",$Y91/$X91,""),($Y91/$X91)*100),0)</f>
        <v>0</v>
      </c>
      <c r="X91" s="384" t="str">
        <f ca="1">IF($Y91&gt;0,CHOOSE(MATCH(RegimeExecucao,{"Unitário","Global"},0),IF($A91="S",ROUND($H91,ORÇAMENTO!$AF$10),""),ROUND($I91,ORÇAMENTO!$AF$11)),"")</f>
        <v/>
      </c>
      <c r="Y91" s="384">
        <f ca="1">AO91-O91</f>
        <v>0</v>
      </c>
      <c r="Z91" s="572"/>
      <c r="AB91" s="382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383"/>
      <c r="AO91">
        <f ca="1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spans="1:41" ht="25.5" x14ac:dyDescent="0.2">
      <c r="A92" t="str">
        <f ca="1">ORÇAMENTO!C92</f>
        <v>S</v>
      </c>
      <c r="B92">
        <f ca="1">ORÇAMENTO!D92</f>
        <v>0</v>
      </c>
      <c r="C92" s="116" t="str">
        <f t="shared" ref="C92" ca="1" si="47">IF(OR($I92&gt;0,$A92=1,$A92=2,$A92=3,$A92=4),"F","")</f>
        <v>F</v>
      </c>
      <c r="D92" s="119" t="str">
        <f ca="1">ORÇAMENTO!O92</f>
        <v>6.2.8.</v>
      </c>
      <c r="E92" s="172" t="str">
        <f ca="1">ORÇAMENTO.Descricao</f>
        <v>TOMADA BAIXA DE EMBUTIR (1 MÓDULO), 2P+T 10 A, INCLUINDO SUPORTE E PLACA - FORNECIMENTO E INSTALAÇÃO. AF_03/2023</v>
      </c>
      <c r="F92" s="173" t="str">
        <f ca="1">IF(RegimeExecucao="Global","",ORÇAMENTO.Unidade)</f>
        <v>UN</v>
      </c>
      <c r="G92" s="124">
        <f ca="1">IF(RegimeExecucao="Global","",ORÇAMENTO!T92)</f>
        <v>10</v>
      </c>
      <c r="H92" s="124">
        <f ca="1">IF(RegimeExecucao="Global","",ORÇAMENTO!W92)</f>
        <v>52.26</v>
      </c>
      <c r="I92" s="127">
        <f ca="1">ORÇAMENTO!X92</f>
        <v>522.6</v>
      </c>
      <c r="J92" s="378">
        <f ca="1">IF($A92="S",IF(CAIXA.Modo,BM.AFAnterior,BM.MEDAnterior),IF(AND(RegimeExecucao="Global",$I92&gt;0,COUNTIF($AB$13:$AM$13,BM.medicao-1)&gt;0),M92/$I92*100,0))</f>
        <v>0</v>
      </c>
      <c r="K92" s="124">
        <f t="shared" ref="K92" ca="1" si="48">L92-J92</f>
        <v>0</v>
      </c>
      <c r="L92" s="379">
        <f ca="1">IF($A92="S",IF(CAIXA.Modo,BM.AFAcumulado,BM.MEDAcumulado),IF(AND(RegimeExecucao="Global",$I92&gt;0,COUNTIF($AB$13:$AM$13,BM.medicao)&gt;0),O92/$I92*100,0))</f>
        <v>0</v>
      </c>
      <c r="M92" s="380">
        <f ca="1">IF($A92="S",VTOTALBM,IF($A92=0,0,ROUND(SomaAgrupBM,15-13*ORÇAMENTO!$AF$11)))</f>
        <v>0</v>
      </c>
      <c r="N92" s="381">
        <f t="shared" ref="N92" ca="1" si="49">O92-M92</f>
        <v>0</v>
      </c>
      <c r="O92" s="127">
        <f ca="1">IF($A92="S",VTOTALBM,IF($A92=0,0,ROUND(SomaAgrupBM,15-13*ORÇAMENTO!$AF$11)))</f>
        <v>0</v>
      </c>
      <c r="Q92" s="382"/>
      <c r="R92" s="383"/>
      <c r="T92" s="119" t="str">
        <f t="shared" ref="T92" ca="1" si="50">IF($W92&gt;0,$D92,"")</f>
        <v/>
      </c>
      <c r="U92" s="172" t="str">
        <f t="shared" ref="U92" ca="1" si="51">IF($W92&gt;0,$E92,"")</f>
        <v/>
      </c>
      <c r="V92" s="173" t="str">
        <f ca="1">IF(AND($W92&gt;0,RegimeExecucao="Unitário"),$F92,"")</f>
        <v/>
      </c>
      <c r="W92" s="547">
        <f ca="1">IF($Y92&gt;0,CHOOSE(MATCH(RegimeExecucao,{"Unitário","Global"},0),IF($A92="S",$Y92/$X92,""),($Y92/$X92)*100),0)</f>
        <v>0</v>
      </c>
      <c r="X92" s="384" t="str">
        <f ca="1">IF($Y92&gt;0,CHOOSE(MATCH(RegimeExecucao,{"Unitário","Global"},0),IF($A92="S",ROUND($H92,ORÇAMENTO!$AF$10),""),ROUND($I92,ORÇAMENTO!$AF$11)),"")</f>
        <v/>
      </c>
      <c r="Y92" s="384">
        <f t="shared" ref="Y92" ca="1" si="52">AO92-O92</f>
        <v>0</v>
      </c>
      <c r="Z92" s="572"/>
      <c r="AB92" s="382"/>
      <c r="AC92" s="516"/>
      <c r="AD92" s="516"/>
      <c r="AE92" s="516"/>
      <c r="AF92" s="516"/>
      <c r="AG92" s="516"/>
      <c r="AH92" s="516"/>
      <c r="AI92" s="516"/>
      <c r="AJ92" s="516"/>
      <c r="AK92" s="516"/>
      <c r="AL92" s="516"/>
      <c r="AM92" s="383"/>
      <c r="AO92">
        <f ca="1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spans="1:41" ht="38.25" x14ac:dyDescent="0.2">
      <c r="A93" t="str">
        <f ca="1">ORÇAMENTO!C93</f>
        <v>S</v>
      </c>
      <c r="B93">
        <f ca="1">ORÇAMENTO!D93</f>
        <v>0</v>
      </c>
      <c r="C93" s="116" t="str">
        <f t="shared" ca="1" si="1"/>
        <v>F</v>
      </c>
      <c r="D93" s="119" t="str">
        <f ca="1">ORÇAMENTO!O93</f>
        <v>6.2.9.</v>
      </c>
      <c r="E93" s="172" t="str">
        <f t="shared" ca="1" si="2"/>
        <v>INTERRUPTOR SIMPLES (1 MÓDULO) COM 1 TOMADA DE EMBUTIR 2P+T 10 A, INCLUINDO SUPORTE E PLACA - FORNECIMENTO E INSTALAÇÃO. AF_03/2023</v>
      </c>
      <c r="F93" s="173" t="str">
        <f ca="1">IF(RegimeExecucao="Global","",ORÇAMENTO.Unidade)</f>
        <v>UN</v>
      </c>
      <c r="G93" s="124">
        <f ca="1">IF(RegimeExecucao="Global","",ORÇAMENTO!T93)</f>
        <v>12</v>
      </c>
      <c r="H93" s="124">
        <f ca="1">IF(RegimeExecucao="Global","",ORÇAMENTO!W93)</f>
        <v>85.08</v>
      </c>
      <c r="I93" s="127">
        <f ca="1">ORÇAMENTO!X93</f>
        <v>1020.96</v>
      </c>
      <c r="J93" s="378">
        <f ca="1">IF($A93="S",IF(CAIXA.Modo,BM.AFAnterior,BM.MEDAnterior),IF(AND(RegimeExecucao="Global",$I93&gt;0,COUNTIF($AB$13:$AM$13,BM.medicao-1)&gt;0),M93/$I93*100,0))</f>
        <v>0</v>
      </c>
      <c r="K93" s="124">
        <f t="shared" ca="1" si="3"/>
        <v>0</v>
      </c>
      <c r="L93" s="379">
        <f ca="1">IF($A93="S",IF(CAIXA.Modo,BM.AFAcumulado,BM.MEDAcumulado),IF(AND(RegimeExecucao="Global",$I93&gt;0,COUNTIF($AB$13:$AM$13,BM.medicao)&gt;0),O93/$I93*100,0))</f>
        <v>0</v>
      </c>
      <c r="M93" s="380">
        <f ca="1">IF($A93="S",VTOTALBM,IF($A93=0,0,ROUND(SomaAgrupBM,15-13*ORÇAMENTO!$AF$11)))</f>
        <v>0</v>
      </c>
      <c r="N93" s="381">
        <f t="shared" ca="1" si="4"/>
        <v>0</v>
      </c>
      <c r="O93" s="127">
        <f ca="1">IF($A93="S",VTOTALBM,IF($A93=0,0,ROUND(SomaAgrupBM,15-13*ORÇAMENTO!$AF$11)))</f>
        <v>0</v>
      </c>
      <c r="Q93" s="382"/>
      <c r="R93" s="383"/>
      <c r="T93" s="119" t="str">
        <f t="shared" ca="1" si="5"/>
        <v/>
      </c>
      <c r="U93" s="172" t="str">
        <f t="shared" ca="1" si="6"/>
        <v/>
      </c>
      <c r="V93" s="173" t="str">
        <f ca="1">IF(AND($W93&gt;0,RegimeExecucao="Unitário"),$F93,"")</f>
        <v/>
      </c>
      <c r="W93" s="547">
        <f ca="1">IF($Y93&gt;0,CHOOSE(MATCH(RegimeExecucao,{"Unitário","Global"},0),IF($A93="S",$Y93/$X93,""),($Y93/$X93)*100),0)</f>
        <v>0</v>
      </c>
      <c r="X93" s="384" t="str">
        <f ca="1">IF($Y93&gt;0,CHOOSE(MATCH(RegimeExecucao,{"Unitário","Global"},0),IF($A93="S",ROUND($H93,ORÇAMENTO!$AF$10),""),ROUND($I93,ORÇAMENTO!$AF$11)),"")</f>
        <v/>
      </c>
      <c r="Y93" s="384">
        <f t="shared" ca="1" si="7"/>
        <v>0</v>
      </c>
      <c r="Z93" s="572"/>
      <c r="AB93" s="382"/>
      <c r="AC93" s="516"/>
      <c r="AD93" s="516"/>
      <c r="AE93" s="516"/>
      <c r="AF93" s="516"/>
      <c r="AG93" s="516"/>
      <c r="AH93" s="516"/>
      <c r="AI93" s="516"/>
      <c r="AJ93" s="516"/>
      <c r="AK93" s="516"/>
      <c r="AL93" s="516"/>
      <c r="AM93" s="383"/>
      <c r="AO93">
        <f ca="1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spans="1:41" ht="25.5" x14ac:dyDescent="0.2">
      <c r="A94" t="str">
        <f ca="1">ORÇAMENTO!C94</f>
        <v>S</v>
      </c>
      <c r="B94">
        <f ca="1">ORÇAMENTO!D94</f>
        <v>0</v>
      </c>
      <c r="C94" s="116" t="str">
        <f t="shared" ca="1" si="1"/>
        <v>F</v>
      </c>
      <c r="D94" s="119" t="str">
        <f ca="1">ORÇAMENTO!O94</f>
        <v>6.2.10.</v>
      </c>
      <c r="E94" s="172" t="str">
        <f t="shared" ca="1" si="2"/>
        <v>TOMADA 2P+T 20A 250V, CONJUNTO MONTADO PARA EMBUTIR 4" X 2" (PLACA + SUPORTE + MODULO)</v>
      </c>
      <c r="F94" s="173" t="str">
        <f ca="1">IF(RegimeExecucao="Global","",ORÇAMENTO.Unidade)</f>
        <v>UN</v>
      </c>
      <c r="G94" s="124">
        <f ca="1">IF(RegimeExecucao="Global","",ORÇAMENTO!T94)</f>
        <v>8</v>
      </c>
      <c r="H94" s="124">
        <f ca="1">IF(RegimeExecucao="Global","",ORÇAMENTO!W94)</f>
        <v>21.93</v>
      </c>
      <c r="I94" s="127">
        <f ca="1">ORÇAMENTO!X94</f>
        <v>175.44</v>
      </c>
      <c r="J94" s="378">
        <f ca="1">IF($A94="S",IF(CAIXA.Modo,BM.AFAnterior,BM.MEDAnterior),IF(AND(RegimeExecucao="Global",$I94&gt;0,COUNTIF($AB$13:$AM$13,BM.medicao-1)&gt;0),M94/$I94*100,0))</f>
        <v>0</v>
      </c>
      <c r="K94" s="124">
        <f t="shared" ca="1" si="3"/>
        <v>0</v>
      </c>
      <c r="L94" s="379">
        <f ca="1">IF($A94="S",IF(CAIXA.Modo,BM.AFAcumulado,BM.MEDAcumulado),IF(AND(RegimeExecucao="Global",$I94&gt;0,COUNTIF($AB$13:$AM$13,BM.medicao)&gt;0),O94/$I94*100,0))</f>
        <v>0</v>
      </c>
      <c r="M94" s="380">
        <f ca="1">IF($A94="S",VTOTALBM,IF($A94=0,0,ROUND(SomaAgrupBM,15-13*ORÇAMENTO!$AF$11)))</f>
        <v>0</v>
      </c>
      <c r="N94" s="381">
        <f t="shared" ca="1" si="4"/>
        <v>0</v>
      </c>
      <c r="O94" s="127">
        <f ca="1">IF($A94="S",VTOTALBM,IF($A94=0,0,ROUND(SomaAgrupBM,15-13*ORÇAMENTO!$AF$11)))</f>
        <v>0</v>
      </c>
      <c r="Q94" s="382"/>
      <c r="R94" s="383"/>
      <c r="T94" s="119" t="str">
        <f t="shared" ca="1" si="5"/>
        <v/>
      </c>
      <c r="U94" s="172" t="str">
        <f t="shared" ca="1" si="6"/>
        <v/>
      </c>
      <c r="V94" s="173" t="str">
        <f ca="1">IF(AND($W94&gt;0,RegimeExecucao="Unitário"),$F94,"")</f>
        <v/>
      </c>
      <c r="W94" s="547">
        <f ca="1">IF($Y94&gt;0,CHOOSE(MATCH(RegimeExecucao,{"Unitário","Global"},0),IF($A94="S",$Y94/$X94,""),($Y94/$X94)*100),0)</f>
        <v>0</v>
      </c>
      <c r="X94" s="384" t="str">
        <f ca="1">IF($Y94&gt;0,CHOOSE(MATCH(RegimeExecucao,{"Unitário","Global"},0),IF($A94="S",ROUND($H94,ORÇAMENTO!$AF$10),""),ROUND($I94,ORÇAMENTO!$AF$11)),"")</f>
        <v/>
      </c>
      <c r="Y94" s="384">
        <f t="shared" ca="1" si="7"/>
        <v>0</v>
      </c>
      <c r="Z94" s="572"/>
      <c r="AB94" s="382"/>
      <c r="AC94" s="516"/>
      <c r="AD94" s="516"/>
      <c r="AE94" s="516"/>
      <c r="AF94" s="516"/>
      <c r="AG94" s="516"/>
      <c r="AH94" s="516"/>
      <c r="AI94" s="516"/>
      <c r="AJ94" s="516"/>
      <c r="AK94" s="516"/>
      <c r="AL94" s="516"/>
      <c r="AM94" s="383"/>
      <c r="AO94">
        <f ca="1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spans="1:41" ht="25.5" x14ac:dyDescent="0.2">
      <c r="A95" t="str">
        <f ca="1">ORÇAMENTO!C95</f>
        <v>S</v>
      </c>
      <c r="B95">
        <f ca="1">ORÇAMENTO!D95</f>
        <v>0</v>
      </c>
      <c r="C95" s="116" t="str">
        <f t="shared" ca="1" si="1"/>
        <v>F</v>
      </c>
      <c r="D95" s="119" t="str">
        <f ca="1">ORÇAMENTO!O95</f>
        <v>6.2.11.</v>
      </c>
      <c r="E95" s="172" t="str">
        <f t="shared" ca="1" si="2"/>
        <v>FIO DE COBRE, SOLIDO, CLASSE 1, ISOLACAO EM PVC/A, ANTICHAMA BWF-B, 450/750V, SECAO NOMINAL 1,5 MM2</v>
      </c>
      <c r="F95" s="173" t="str">
        <f ca="1">IF(RegimeExecucao="Global","",ORÇAMENTO.Unidade)</f>
        <v>M</v>
      </c>
      <c r="G95" s="124">
        <f ca="1">IF(RegimeExecucao="Global","",ORÇAMENTO!T95)</f>
        <v>63</v>
      </c>
      <c r="H95" s="124">
        <f ca="1">IF(RegimeExecucao="Global","",ORÇAMENTO!W95)</f>
        <v>2.2599999999999998</v>
      </c>
      <c r="I95" s="127">
        <f ca="1">ORÇAMENTO!X95</f>
        <v>142.38</v>
      </c>
      <c r="J95" s="378">
        <f ca="1">IF($A95="S",IF(CAIXA.Modo,BM.AFAnterior,BM.MEDAnterior),IF(AND(RegimeExecucao="Global",$I95&gt;0,COUNTIF($AB$13:$AM$13,BM.medicao-1)&gt;0),M95/$I95*100,0))</f>
        <v>0</v>
      </c>
      <c r="K95" s="124">
        <f t="shared" ca="1" si="3"/>
        <v>0</v>
      </c>
      <c r="L95" s="379">
        <f ca="1">IF($A95="S",IF(CAIXA.Modo,BM.AFAcumulado,BM.MEDAcumulado),IF(AND(RegimeExecucao="Global",$I95&gt;0,COUNTIF($AB$13:$AM$13,BM.medicao)&gt;0),O95/$I95*100,0))</f>
        <v>0</v>
      </c>
      <c r="M95" s="380">
        <f ca="1">IF($A95="S",VTOTALBM,IF($A95=0,0,ROUND(SomaAgrupBM,15-13*ORÇAMENTO!$AF$11)))</f>
        <v>0</v>
      </c>
      <c r="N95" s="381">
        <f t="shared" ca="1" si="4"/>
        <v>0</v>
      </c>
      <c r="O95" s="127">
        <f ca="1">IF($A95="S",VTOTALBM,IF($A95=0,0,ROUND(SomaAgrupBM,15-13*ORÇAMENTO!$AF$11)))</f>
        <v>0</v>
      </c>
      <c r="Q95" s="382"/>
      <c r="R95" s="383"/>
      <c r="T95" s="119" t="str">
        <f t="shared" ca="1" si="5"/>
        <v/>
      </c>
      <c r="U95" s="172" t="str">
        <f t="shared" ca="1" si="6"/>
        <v/>
      </c>
      <c r="V95" s="173" t="str">
        <f ca="1">IF(AND($W95&gt;0,RegimeExecucao="Unitário"),$F95,"")</f>
        <v/>
      </c>
      <c r="W95" s="547">
        <f ca="1">IF($Y95&gt;0,CHOOSE(MATCH(RegimeExecucao,{"Unitário","Global"},0),IF($A95="S",$Y95/$X95,""),($Y95/$X95)*100),0)</f>
        <v>0</v>
      </c>
      <c r="X95" s="384" t="str">
        <f ca="1">IF($Y95&gt;0,CHOOSE(MATCH(RegimeExecucao,{"Unitário","Global"},0),IF($A95="S",ROUND($H95,ORÇAMENTO!$AF$10),""),ROUND($I95,ORÇAMENTO!$AF$11)),"")</f>
        <v/>
      </c>
      <c r="Y95" s="384">
        <f t="shared" ca="1" si="7"/>
        <v>0</v>
      </c>
      <c r="Z95" s="572"/>
      <c r="AB95" s="382"/>
      <c r="AC95" s="516"/>
      <c r="AD95" s="516"/>
      <c r="AE95" s="516"/>
      <c r="AF95" s="516"/>
      <c r="AG95" s="516"/>
      <c r="AH95" s="516"/>
      <c r="AI95" s="516"/>
      <c r="AJ95" s="516"/>
      <c r="AK95" s="516"/>
      <c r="AL95" s="516"/>
      <c r="AM95" s="383"/>
      <c r="AO95">
        <f ca="1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spans="1:41" ht="25.5" x14ac:dyDescent="0.2">
      <c r="A96" t="str">
        <f ca="1">ORÇAMENTO!C96</f>
        <v>S</v>
      </c>
      <c r="B96">
        <f ca="1">ORÇAMENTO!D96</f>
        <v>0</v>
      </c>
      <c r="C96" s="116" t="str">
        <f t="shared" ca="1" si="1"/>
        <v>F</v>
      </c>
      <c r="D96" s="119" t="str">
        <f ca="1">ORÇAMENTO!O96</f>
        <v>6.2.12.</v>
      </c>
      <c r="E96" s="172" t="str">
        <f t="shared" ca="1" si="2"/>
        <v>FIO DE COBRE, SOLIDO, CLASSE 1, ISOLACAO EM PVC/A, ANTICHAMA BWF-B, 450/750V, SECAO NOMINAL 2,5 MM2</v>
      </c>
      <c r="F96" s="173" t="str">
        <f ca="1">IF(RegimeExecucao="Global","",ORÇAMENTO.Unidade)</f>
        <v>M</v>
      </c>
      <c r="G96" s="124">
        <f ca="1">IF(RegimeExecucao="Global","",ORÇAMENTO!T96)</f>
        <v>460</v>
      </c>
      <c r="H96" s="124">
        <f ca="1">IF(RegimeExecucao="Global","",ORÇAMENTO!W96)</f>
        <v>3.67</v>
      </c>
      <c r="I96" s="127">
        <f ca="1">ORÇAMENTO!X96</f>
        <v>1688.2</v>
      </c>
      <c r="J96" s="378">
        <f ca="1">IF($A96="S",IF(CAIXA.Modo,BM.AFAnterior,BM.MEDAnterior),IF(AND(RegimeExecucao="Global",$I96&gt;0,COUNTIF($AB$13:$AM$13,BM.medicao-1)&gt;0),M96/$I96*100,0))</f>
        <v>0</v>
      </c>
      <c r="K96" s="124">
        <f t="shared" ca="1" si="3"/>
        <v>0</v>
      </c>
      <c r="L96" s="379">
        <f ca="1">IF($A96="S",IF(CAIXA.Modo,BM.AFAcumulado,BM.MEDAcumulado),IF(AND(RegimeExecucao="Global",$I96&gt;0,COUNTIF($AB$13:$AM$13,BM.medicao)&gt;0),O96/$I96*100,0))</f>
        <v>0</v>
      </c>
      <c r="M96" s="380">
        <f ca="1">IF($A96="S",VTOTALBM,IF($A96=0,0,ROUND(SomaAgrupBM,15-13*ORÇAMENTO!$AF$11)))</f>
        <v>0</v>
      </c>
      <c r="N96" s="381">
        <f t="shared" ca="1" si="4"/>
        <v>0</v>
      </c>
      <c r="O96" s="127">
        <f ca="1">IF($A96="S",VTOTALBM,IF($A96=0,0,ROUND(SomaAgrupBM,15-13*ORÇAMENTO!$AF$11)))</f>
        <v>0</v>
      </c>
      <c r="Q96" s="382"/>
      <c r="R96" s="383"/>
      <c r="T96" s="119" t="str">
        <f t="shared" ca="1" si="5"/>
        <v/>
      </c>
      <c r="U96" s="172" t="str">
        <f t="shared" ca="1" si="6"/>
        <v/>
      </c>
      <c r="V96" s="173" t="str">
        <f ca="1">IF(AND($W96&gt;0,RegimeExecucao="Unitário"),$F96,"")</f>
        <v/>
      </c>
      <c r="W96" s="547">
        <f ca="1">IF($Y96&gt;0,CHOOSE(MATCH(RegimeExecucao,{"Unitário","Global"},0),IF($A96="S",$Y96/$X96,""),($Y96/$X96)*100),0)</f>
        <v>0</v>
      </c>
      <c r="X96" s="384" t="str">
        <f ca="1">IF($Y96&gt;0,CHOOSE(MATCH(RegimeExecucao,{"Unitário","Global"},0),IF($A96="S",ROUND($H96,ORÇAMENTO!$AF$10),""),ROUND($I96,ORÇAMENTO!$AF$11)),"")</f>
        <v/>
      </c>
      <c r="Y96" s="384">
        <f t="shared" ca="1" si="7"/>
        <v>0</v>
      </c>
      <c r="Z96" s="572"/>
      <c r="AB96" s="382"/>
      <c r="AC96" s="516"/>
      <c r="AD96" s="516"/>
      <c r="AE96" s="516"/>
      <c r="AF96" s="516"/>
      <c r="AG96" s="516"/>
      <c r="AH96" s="516"/>
      <c r="AI96" s="516"/>
      <c r="AJ96" s="516"/>
      <c r="AK96" s="516"/>
      <c r="AL96" s="516"/>
      <c r="AM96" s="383"/>
      <c r="AO96">
        <f ca="1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spans="1:41" ht="25.5" x14ac:dyDescent="0.2">
      <c r="A97" t="str">
        <f ca="1">ORÇAMENTO!C97</f>
        <v>S</v>
      </c>
      <c r="B97">
        <f ca="1">ORÇAMENTO!D97</f>
        <v>0</v>
      </c>
      <c r="C97" s="116" t="str">
        <f ca="1">IF(OR($I97&gt;0,$A97=1,$A97=2,$A97=3,$A97=4),"F","")</f>
        <v>F</v>
      </c>
      <c r="D97" s="119" t="str">
        <f ca="1">ORÇAMENTO!O97</f>
        <v>6.2.13.</v>
      </c>
      <c r="E97" s="172" t="str">
        <f ca="1">ORÇAMENTO.Descricao</f>
        <v>FIO DE COBRE, SOLIDO, CLASSE 1, ISOLACAO EM PVC/A, ANTICHAMA BWF-B, 450/750V, SECAO NOMINAL 10 MM2</v>
      </c>
      <c r="F97" s="173" t="str">
        <f ca="1">IF(RegimeExecucao="Global","",ORÇAMENTO.Unidade)</f>
        <v>M</v>
      </c>
      <c r="G97" s="124">
        <f ca="1">IF(RegimeExecucao="Global","",ORÇAMENTO!T97)</f>
        <v>60</v>
      </c>
      <c r="H97" s="124">
        <f ca="1">IF(RegimeExecucao="Global","",ORÇAMENTO!W97)</f>
        <v>13.23</v>
      </c>
      <c r="I97" s="127">
        <f ca="1">ORÇAMENTO!X97</f>
        <v>793.8</v>
      </c>
      <c r="J97" s="378">
        <f ca="1">IF($A97="S",IF(CAIXA.Modo,BM.AFAnterior,BM.MEDAnterior),IF(AND(RegimeExecucao="Global",$I97&gt;0,COUNTIF($AB$13:$AM$13,BM.medicao-1)&gt;0),M97/$I97*100,0))</f>
        <v>0</v>
      </c>
      <c r="K97" s="124">
        <f ca="1">L97-J97</f>
        <v>0</v>
      </c>
      <c r="L97" s="379">
        <f ca="1">IF($A97="S",IF(CAIXA.Modo,BM.AFAcumulado,BM.MEDAcumulado),IF(AND(RegimeExecucao="Global",$I97&gt;0,COUNTIF($AB$13:$AM$13,BM.medicao)&gt;0),O97/$I97*100,0))</f>
        <v>0</v>
      </c>
      <c r="M97" s="380">
        <f ca="1">IF($A97="S",VTOTALBM,IF($A97=0,0,ROUND(SomaAgrupBM,15-13*ORÇAMENTO!$AF$11)))</f>
        <v>0</v>
      </c>
      <c r="N97" s="381">
        <f ca="1">O97-M97</f>
        <v>0</v>
      </c>
      <c r="O97" s="127">
        <f ca="1">IF($A97="S",VTOTALBM,IF($A97=0,0,ROUND(SomaAgrupBM,15-13*ORÇAMENTO!$AF$11)))</f>
        <v>0</v>
      </c>
      <c r="Q97" s="382"/>
      <c r="R97" s="383"/>
      <c r="T97" s="119" t="str">
        <f ca="1">IF($W97&gt;0,$D97,"")</f>
        <v/>
      </c>
      <c r="U97" s="172" t="str">
        <f ca="1">IF($W97&gt;0,$E97,"")</f>
        <v/>
      </c>
      <c r="V97" s="173" t="str">
        <f ca="1">IF(AND($W97&gt;0,RegimeExecucao="Unitário"),$F97,"")</f>
        <v/>
      </c>
      <c r="W97" s="547">
        <f ca="1">IF($Y97&gt;0,CHOOSE(MATCH(RegimeExecucao,{"Unitário","Global"},0),IF($A97="S",$Y97/$X97,""),($Y97/$X97)*100),0)</f>
        <v>0</v>
      </c>
      <c r="X97" s="384" t="str">
        <f ca="1">IF($Y97&gt;0,CHOOSE(MATCH(RegimeExecucao,{"Unitário","Global"},0),IF($A97="S",ROUND($H97,ORÇAMENTO!$AF$10),""),ROUND($I97,ORÇAMENTO!$AF$11)),"")</f>
        <v/>
      </c>
      <c r="Y97" s="384">
        <f ca="1">AO97-O97</f>
        <v>0</v>
      </c>
      <c r="Z97" s="572"/>
      <c r="AB97" s="382"/>
      <c r="AC97" s="516"/>
      <c r="AD97" s="516"/>
      <c r="AE97" s="516"/>
      <c r="AF97" s="516"/>
      <c r="AG97" s="516"/>
      <c r="AH97" s="516"/>
      <c r="AI97" s="516"/>
      <c r="AJ97" s="516"/>
      <c r="AK97" s="516"/>
      <c r="AL97" s="516"/>
      <c r="AM97" s="383"/>
      <c r="AO97">
        <f ca="1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spans="1:41" x14ac:dyDescent="0.2">
      <c r="A98">
        <f ca="1">ORÇAMENTO!C98</f>
        <v>2</v>
      </c>
      <c r="B98">
        <f ca="1">ORÇAMENTO!D98</f>
        <v>18</v>
      </c>
      <c r="C98" s="116" t="str">
        <f t="shared" ca="1" si="1"/>
        <v>F</v>
      </c>
      <c r="D98" s="119" t="str">
        <f ca="1">ORÇAMENTO!O98</f>
        <v>6.3.</v>
      </c>
      <c r="E98" s="172" t="str">
        <f t="shared" si="2"/>
        <v xml:space="preserve">INSTALAÇÕES HIDROSSANITÁRIAS </v>
      </c>
      <c r="F98" s="173" t="str">
        <f ca="1">IF(RegimeExecucao="Global","",ORÇAMENTO.Unidade)</f>
        <v>-</v>
      </c>
      <c r="G98" s="124">
        <f ca="1">IF(RegimeExecucao="Global","",ORÇAMENTO!T98)</f>
        <v>0</v>
      </c>
      <c r="H98" s="124">
        <f ca="1">IF(RegimeExecucao="Global","",ORÇAMENTO!W98)</f>
        <v>0</v>
      </c>
      <c r="I98" s="127">
        <f ca="1">ORÇAMENTO!X98</f>
        <v>16478.37</v>
      </c>
      <c r="J98" s="378">
        <f ca="1">IF($A98="S",IF(CAIXA.Modo,BM.AFAnterior,BM.MEDAnterior),IF(AND(RegimeExecucao="Global",$I98&gt;0,COUNTIF($AB$13:$AM$13,BM.medicao-1)&gt;0),M98/$I98*100,0))</f>
        <v>0</v>
      </c>
      <c r="K98" s="124">
        <f t="shared" ca="1" si="3"/>
        <v>0</v>
      </c>
      <c r="L98" s="379">
        <f ca="1">IF($A98="S",IF(CAIXA.Modo,BM.AFAcumulado,BM.MEDAcumulado),IF(AND(RegimeExecucao="Global",$I98&gt;0,COUNTIF($AB$13:$AM$13,BM.medicao)&gt;0),O98/$I98*100,0))</f>
        <v>0</v>
      </c>
      <c r="M98" s="380">
        <f ca="1">IF($A98="S",VTOTALBM,IF($A98=0,0,ROUND(SomaAgrupBM,15-13*ORÇAMENTO!$AF$11)))</f>
        <v>0</v>
      </c>
      <c r="N98" s="381">
        <f t="shared" ca="1" si="4"/>
        <v>0</v>
      </c>
      <c r="O98" s="127">
        <f ca="1">IF($A98="S",VTOTALBM,IF($A98=0,0,ROUND(SomaAgrupBM,15-13*ORÇAMENTO!$AF$11)))</f>
        <v>0</v>
      </c>
      <c r="Q98" s="382"/>
      <c r="R98" s="383"/>
      <c r="T98" s="119" t="str">
        <f t="shared" ca="1" si="5"/>
        <v/>
      </c>
      <c r="U98" s="172" t="str">
        <f t="shared" ca="1" si="6"/>
        <v/>
      </c>
      <c r="V98" s="173" t="str">
        <f ca="1">IF(AND($W98&gt;0,RegimeExecucao="Unitário"),$F98,"")</f>
        <v/>
      </c>
      <c r="W98" s="547">
        <f ca="1">IF($Y98&gt;0,CHOOSE(MATCH(RegimeExecucao,{"Unitário","Global"},0),IF($A98="S",$Y98/$X98,""),($Y98/$X98)*100),0)</f>
        <v>0</v>
      </c>
      <c r="X98" s="384" t="str">
        <f ca="1">IF($Y98&gt;0,CHOOSE(MATCH(RegimeExecucao,{"Unitário","Global"},0),IF($A98="S",ROUND($H98,ORÇAMENTO!$AF$10),""),ROUND($I98,ORÇAMENTO!$AF$11)),"")</f>
        <v/>
      </c>
      <c r="Y98" s="384">
        <f t="shared" ca="1" si="7"/>
        <v>0</v>
      </c>
      <c r="Z98" s="572"/>
      <c r="AB98" s="382"/>
      <c r="AC98" s="516"/>
      <c r="AD98" s="516"/>
      <c r="AE98" s="516"/>
      <c r="AF98" s="516"/>
      <c r="AG98" s="516"/>
      <c r="AH98" s="516"/>
      <c r="AI98" s="516"/>
      <c r="AJ98" s="516"/>
      <c r="AK98" s="516"/>
      <c r="AL98" s="516"/>
      <c r="AM98" s="383"/>
      <c r="AO98">
        <f ca="1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spans="1:41" ht="51" x14ac:dyDescent="0.2">
      <c r="A99" t="str">
        <f ca="1">ORÇAMENTO!C99</f>
        <v>S</v>
      </c>
      <c r="B99">
        <f ca="1">ORÇAMENTO!D99</f>
        <v>0</v>
      </c>
      <c r="C99" s="116" t="str">
        <f ca="1">IF(OR($I99&gt;0,$A99=1,$A99=2,$A99=3,$A99=4),"F","")</f>
        <v>F</v>
      </c>
      <c r="D99" s="119" t="str">
        <f ca="1">ORÇAMENTO!O99</f>
        <v>6.3.1.</v>
      </c>
      <c r="E99" s="172" t="str">
        <f ca="1">ORÇAMENTO.Descricao</f>
        <v>KIT CAVALETE PARA MEDIÇÃO DE ÁGUA - ENTRADA INDIVIDUALIZADA, EM PPR PN20 DN 25 MM (3/4") PARA 1 MEDIDOR - FORNECIMENTO E INSTALAÇÃO (EXCLUSIVE HIDRÔMETRO). AF_03/2024</v>
      </c>
      <c r="F99" s="173" t="str">
        <f ca="1">IF(RegimeExecucao="Global","",ORÇAMENTO.Unidade)</f>
        <v>UN</v>
      </c>
      <c r="G99" s="124">
        <f ca="1">IF(RegimeExecucao="Global","",ORÇAMENTO!T99)</f>
        <v>1</v>
      </c>
      <c r="H99" s="124">
        <f ca="1">IF(RegimeExecucao="Global","",ORÇAMENTO!W99)</f>
        <v>449.93</v>
      </c>
      <c r="I99" s="127">
        <f ca="1">ORÇAMENTO!X99</f>
        <v>449.93</v>
      </c>
      <c r="J99" s="378">
        <f ca="1">IF($A99="S",IF(CAIXA.Modo,BM.AFAnterior,BM.MEDAnterior),IF(AND(RegimeExecucao="Global",$I99&gt;0,COUNTIF($AB$13:$AM$13,BM.medicao-1)&gt;0),M99/$I99*100,0))</f>
        <v>0</v>
      </c>
      <c r="K99" s="124">
        <f ca="1">L99-J99</f>
        <v>0</v>
      </c>
      <c r="L99" s="379">
        <f ca="1">IF($A99="S",IF(CAIXA.Modo,BM.AFAcumulado,BM.MEDAcumulado),IF(AND(RegimeExecucao="Global",$I99&gt;0,COUNTIF($AB$13:$AM$13,BM.medicao)&gt;0),O99/$I99*100,0))</f>
        <v>0</v>
      </c>
      <c r="M99" s="380">
        <f ca="1">IF($A99="S",VTOTALBM,IF($A99=0,0,ROUND(SomaAgrupBM,15-13*ORÇAMENTO!$AF$11)))</f>
        <v>0</v>
      </c>
      <c r="N99" s="381">
        <f ca="1">O99-M99</f>
        <v>0</v>
      </c>
      <c r="O99" s="127">
        <f ca="1">IF($A99="S",VTOTALBM,IF($A99=0,0,ROUND(SomaAgrupBM,15-13*ORÇAMENTO!$AF$11)))</f>
        <v>0</v>
      </c>
      <c r="Q99" s="382"/>
      <c r="R99" s="383"/>
      <c r="T99" s="119" t="str">
        <f ca="1">IF($W99&gt;0,$D99,"")</f>
        <v/>
      </c>
      <c r="U99" s="172" t="str">
        <f ca="1">IF($W99&gt;0,$E99,"")</f>
        <v/>
      </c>
      <c r="V99" s="173" t="str">
        <f ca="1">IF(AND($W99&gt;0,RegimeExecucao="Unitário"),$F99,"")</f>
        <v/>
      </c>
      <c r="W99" s="547">
        <f ca="1">IF($Y99&gt;0,CHOOSE(MATCH(RegimeExecucao,{"Unitário","Global"},0),IF($A99="S",$Y99/$X99,""),($Y99/$X99)*100),0)</f>
        <v>0</v>
      </c>
      <c r="X99" s="384" t="str">
        <f ca="1">IF($Y99&gt;0,CHOOSE(MATCH(RegimeExecucao,{"Unitário","Global"},0),IF($A99="S",ROUND($H99,ORÇAMENTO!$AF$10),""),ROUND($I99,ORÇAMENTO!$AF$11)),"")</f>
        <v/>
      </c>
      <c r="Y99" s="384">
        <f ca="1">AO99-O99</f>
        <v>0</v>
      </c>
      <c r="Z99" s="572"/>
      <c r="AB99" s="382"/>
      <c r="AC99" s="516"/>
      <c r="AD99" s="516"/>
      <c r="AE99" s="516"/>
      <c r="AF99" s="516"/>
      <c r="AG99" s="516"/>
      <c r="AH99" s="516"/>
      <c r="AI99" s="516"/>
      <c r="AJ99" s="516"/>
      <c r="AK99" s="516"/>
      <c r="AL99" s="516"/>
      <c r="AM99" s="383"/>
      <c r="AO99">
        <f ca="1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spans="1:41" ht="25.5" x14ac:dyDescent="0.2">
      <c r="A100" t="str">
        <f ca="1">ORÇAMENTO!C100</f>
        <v>S</v>
      </c>
      <c r="B100">
        <f ca="1">ORÇAMENTO!D100</f>
        <v>0</v>
      </c>
      <c r="C100" s="116" t="str">
        <f t="shared" ca="1" si="1"/>
        <v>F</v>
      </c>
      <c r="D100" s="119" t="str">
        <f ca="1">ORÇAMENTO!O100</f>
        <v>6.3.2.</v>
      </c>
      <c r="E100" s="172" t="str">
        <f t="shared" ca="1" si="2"/>
        <v>TUBO, PVC, SOLDÁVEL, DE 25MM, INSTALADO EM PRUMADA DE ÁGUA - FORNECIMENTO E INSTALAÇÃO. AF_06/2022</v>
      </c>
      <c r="F100" s="173" t="str">
        <f ca="1">IF(RegimeExecucao="Global","",ORÇAMENTO.Unidade)</f>
        <v>M</v>
      </c>
      <c r="G100" s="124">
        <f ca="1">IF(RegimeExecucao="Global","",ORÇAMENTO!T100)</f>
        <v>26.4</v>
      </c>
      <c r="H100" s="124">
        <f ca="1">IF(RegimeExecucao="Global","",ORÇAMENTO!W100)</f>
        <v>6.74</v>
      </c>
      <c r="I100" s="127">
        <f ca="1">ORÇAMENTO!X100</f>
        <v>177.94</v>
      </c>
      <c r="J100" s="378">
        <f ca="1">IF($A100="S",IF(CAIXA.Modo,BM.AFAnterior,BM.MEDAnterior),IF(AND(RegimeExecucao="Global",$I100&gt;0,COUNTIF($AB$13:$AM$13,BM.medicao-1)&gt;0),M100/$I100*100,0))</f>
        <v>0</v>
      </c>
      <c r="K100" s="124">
        <f t="shared" ca="1" si="3"/>
        <v>0</v>
      </c>
      <c r="L100" s="379">
        <f ca="1">IF($A100="S",IF(CAIXA.Modo,BM.AFAcumulado,BM.MEDAcumulado),IF(AND(RegimeExecucao="Global",$I100&gt;0,COUNTIF($AB$13:$AM$13,BM.medicao)&gt;0),O100/$I100*100,0))</f>
        <v>0</v>
      </c>
      <c r="M100" s="380">
        <f ca="1">IF($A100="S",VTOTALBM,IF($A100=0,0,ROUND(SomaAgrupBM,15-13*ORÇAMENTO!$AF$11)))</f>
        <v>0</v>
      </c>
      <c r="N100" s="381">
        <f t="shared" ca="1" si="4"/>
        <v>0</v>
      </c>
      <c r="O100" s="127">
        <f ca="1">IF($A100="S",VTOTALBM,IF($A100=0,0,ROUND(SomaAgrupBM,15-13*ORÇAMENTO!$AF$11)))</f>
        <v>0</v>
      </c>
      <c r="Q100" s="382"/>
      <c r="R100" s="383"/>
      <c r="T100" s="119" t="str">
        <f t="shared" ca="1" si="5"/>
        <v/>
      </c>
      <c r="U100" s="172" t="str">
        <f t="shared" ca="1" si="6"/>
        <v/>
      </c>
      <c r="V100" s="173" t="str">
        <f ca="1">IF(AND($W100&gt;0,RegimeExecucao="Unitário"),$F100,"")</f>
        <v/>
      </c>
      <c r="W100" s="547">
        <f ca="1">IF($Y100&gt;0,CHOOSE(MATCH(RegimeExecucao,{"Unitário","Global"},0),IF($A100="S",$Y100/$X100,""),($Y100/$X100)*100),0)</f>
        <v>0</v>
      </c>
      <c r="X100" s="384" t="str">
        <f ca="1">IF($Y100&gt;0,CHOOSE(MATCH(RegimeExecucao,{"Unitário","Global"},0),IF($A100="S",ROUND($H100,ORÇAMENTO!$AF$10),""),ROUND($I100,ORÇAMENTO!$AF$11)),"")</f>
        <v/>
      </c>
      <c r="Y100" s="384">
        <f t="shared" ca="1" si="7"/>
        <v>0</v>
      </c>
      <c r="Z100" s="572"/>
      <c r="AB100" s="382"/>
      <c r="AC100" s="516"/>
      <c r="AD100" s="516"/>
      <c r="AE100" s="516"/>
      <c r="AF100" s="516"/>
      <c r="AG100" s="516"/>
      <c r="AH100" s="516"/>
      <c r="AI100" s="516"/>
      <c r="AJ100" s="516"/>
      <c r="AK100" s="516"/>
      <c r="AL100" s="516"/>
      <c r="AM100" s="383"/>
      <c r="AO100">
        <f ca="1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spans="1:41" ht="38.25" x14ac:dyDescent="0.2">
      <c r="A101" t="str">
        <f ca="1">ORÇAMENTO!C101</f>
        <v>S</v>
      </c>
      <c r="B101">
        <f ca="1">ORÇAMENTO!D101</f>
        <v>0</v>
      </c>
      <c r="C101" s="116" t="str">
        <f t="shared" ca="1" si="1"/>
        <v>F</v>
      </c>
      <c r="D101" s="119" t="str">
        <f ca="1">ORÇAMENTO!O101</f>
        <v>6.3.3.</v>
      </c>
      <c r="E101" s="172" t="str">
        <f t="shared" ca="1" si="2"/>
        <v>REGISTRO DE GAVETA BRUTO, LATÃO, ROSCÁVEL, 3/4", COM ACABAMENTO E CANOPLA CROMADOS - FORNECIMENTO E INSTALAÇÃO. AF_08/2021</v>
      </c>
      <c r="F101" s="173" t="str">
        <f ca="1">IF(RegimeExecucao="Global","",ORÇAMENTO.Unidade)</f>
        <v>UN</v>
      </c>
      <c r="G101" s="124">
        <f ca="1">IF(RegimeExecucao="Global","",ORÇAMENTO!T101)</f>
        <v>9</v>
      </c>
      <c r="H101" s="124">
        <f ca="1">IF(RegimeExecucao="Global","",ORÇAMENTO!W101)</f>
        <v>136.30000000000001</v>
      </c>
      <c r="I101" s="127">
        <f ca="1">ORÇAMENTO!X101</f>
        <v>1226.7</v>
      </c>
      <c r="J101" s="378">
        <f ca="1">IF($A101="S",IF(CAIXA.Modo,BM.AFAnterior,BM.MEDAnterior),IF(AND(RegimeExecucao="Global",$I101&gt;0,COUNTIF($AB$13:$AM$13,BM.medicao-1)&gt;0),M101/$I101*100,0))</f>
        <v>0</v>
      </c>
      <c r="K101" s="124">
        <f t="shared" ca="1" si="3"/>
        <v>0</v>
      </c>
      <c r="L101" s="379">
        <f ca="1">IF($A101="S",IF(CAIXA.Modo,BM.AFAcumulado,BM.MEDAcumulado),IF(AND(RegimeExecucao="Global",$I101&gt;0,COUNTIF($AB$13:$AM$13,BM.medicao)&gt;0),O101/$I101*100,0))</f>
        <v>0</v>
      </c>
      <c r="M101" s="380">
        <f ca="1">IF($A101="S",VTOTALBM,IF($A101=0,0,ROUND(SomaAgrupBM,15-13*ORÇAMENTO!$AF$11)))</f>
        <v>0</v>
      </c>
      <c r="N101" s="381">
        <f t="shared" ca="1" si="4"/>
        <v>0</v>
      </c>
      <c r="O101" s="127">
        <f ca="1">IF($A101="S",VTOTALBM,IF($A101=0,0,ROUND(SomaAgrupBM,15-13*ORÇAMENTO!$AF$11)))</f>
        <v>0</v>
      </c>
      <c r="Q101" s="382"/>
      <c r="R101" s="383"/>
      <c r="T101" s="119" t="str">
        <f t="shared" ca="1" si="5"/>
        <v/>
      </c>
      <c r="U101" s="172" t="str">
        <f t="shared" ca="1" si="6"/>
        <v/>
      </c>
      <c r="V101" s="173" t="str">
        <f ca="1">IF(AND($W101&gt;0,RegimeExecucao="Unitário"),$F101,"")</f>
        <v/>
      </c>
      <c r="W101" s="547">
        <f ca="1">IF($Y101&gt;0,CHOOSE(MATCH(RegimeExecucao,{"Unitário","Global"},0),IF($A101="S",$Y101/$X101,""),($Y101/$X101)*100),0)</f>
        <v>0</v>
      </c>
      <c r="X101" s="384" t="str">
        <f ca="1">IF($Y101&gt;0,CHOOSE(MATCH(RegimeExecucao,{"Unitário","Global"},0),IF($A101="S",ROUND($H101,ORÇAMENTO!$AF$10),""),ROUND($I101,ORÇAMENTO!$AF$11)),"")</f>
        <v/>
      </c>
      <c r="Y101" s="384">
        <f t="shared" ca="1" si="7"/>
        <v>0</v>
      </c>
      <c r="Z101" s="572"/>
      <c r="AB101" s="382"/>
      <c r="AC101" s="516"/>
      <c r="AD101" s="516"/>
      <c r="AE101" s="516"/>
      <c r="AF101" s="516"/>
      <c r="AG101" s="516"/>
      <c r="AH101" s="516"/>
      <c r="AI101" s="516"/>
      <c r="AJ101" s="516"/>
      <c r="AK101" s="516"/>
      <c r="AL101" s="516"/>
      <c r="AM101" s="383"/>
      <c r="AO101">
        <f ca="1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spans="1:41" ht="25.5" x14ac:dyDescent="0.2">
      <c r="A102" t="str">
        <f ca="1">ORÇAMENTO!C102</f>
        <v>S</v>
      </c>
      <c r="B102">
        <f ca="1">ORÇAMENTO!D102</f>
        <v>0</v>
      </c>
      <c r="C102" s="116" t="str">
        <f ca="1">IF(OR($I102&gt;0,$A102=1,$A102=2,$A102=3,$A102=4),"F","")</f>
        <v>F</v>
      </c>
      <c r="D102" s="119" t="str">
        <f ca="1">ORÇAMENTO!O102</f>
        <v>6.3.4.</v>
      </c>
      <c r="E102" s="172" t="str">
        <f ca="1">ORÇAMENTO.Descricao</f>
        <v>ACABAMENTO DE METAL CROMADO PARA REGISTRO PEQUENO, DE PAREDE, 1/2" OU 3/4"</v>
      </c>
      <c r="F102" s="173" t="str">
        <f ca="1">IF(RegimeExecucao="Global","",ORÇAMENTO.Unidade)</f>
        <v>UN</v>
      </c>
      <c r="G102" s="124">
        <f ca="1">IF(RegimeExecucao="Global","",ORÇAMENTO!T102)</f>
        <v>9</v>
      </c>
      <c r="H102" s="124">
        <f ca="1">IF(RegimeExecucao="Global","",ORÇAMENTO!W102)</f>
        <v>58.5</v>
      </c>
      <c r="I102" s="127">
        <f ca="1">ORÇAMENTO!X102</f>
        <v>526.5</v>
      </c>
      <c r="J102" s="378">
        <f ca="1">IF($A102="S",IF(CAIXA.Modo,BM.AFAnterior,BM.MEDAnterior),IF(AND(RegimeExecucao="Global",$I102&gt;0,COUNTIF($AB$13:$AM$13,BM.medicao-1)&gt;0),M102/$I102*100,0))</f>
        <v>0</v>
      </c>
      <c r="K102" s="124">
        <f ca="1">L102-J102</f>
        <v>0</v>
      </c>
      <c r="L102" s="379">
        <f ca="1">IF($A102="S",IF(CAIXA.Modo,BM.AFAcumulado,BM.MEDAcumulado),IF(AND(RegimeExecucao="Global",$I102&gt;0,COUNTIF($AB$13:$AM$13,BM.medicao)&gt;0),O102/$I102*100,0))</f>
        <v>0</v>
      </c>
      <c r="M102" s="380">
        <f ca="1">IF($A102="S",VTOTALBM,IF($A102=0,0,ROUND(SomaAgrupBM,15-13*ORÇAMENTO!$AF$11)))</f>
        <v>0</v>
      </c>
      <c r="N102" s="381">
        <f ca="1">O102-M102</f>
        <v>0</v>
      </c>
      <c r="O102" s="127">
        <f ca="1">IF($A102="S",VTOTALBM,IF($A102=0,0,ROUND(SomaAgrupBM,15-13*ORÇAMENTO!$AF$11)))</f>
        <v>0</v>
      </c>
      <c r="Q102" s="382"/>
      <c r="R102" s="383"/>
      <c r="T102" s="119" t="str">
        <f ca="1">IF($W102&gt;0,$D102,"")</f>
        <v/>
      </c>
      <c r="U102" s="172" t="str">
        <f ca="1">IF($W102&gt;0,$E102,"")</f>
        <v/>
      </c>
      <c r="V102" s="173" t="str">
        <f ca="1">IF(AND($W102&gt;0,RegimeExecucao="Unitário"),$F102,"")</f>
        <v/>
      </c>
      <c r="W102" s="547">
        <f ca="1">IF($Y102&gt;0,CHOOSE(MATCH(RegimeExecucao,{"Unitário","Global"},0),IF($A102="S",$Y102/$X102,""),($Y102/$X102)*100),0)</f>
        <v>0</v>
      </c>
      <c r="X102" s="384" t="str">
        <f ca="1">IF($Y102&gt;0,CHOOSE(MATCH(RegimeExecucao,{"Unitário","Global"},0),IF($A102="S",ROUND($H102,ORÇAMENTO!$AF$10),""),ROUND($I102,ORÇAMENTO!$AF$11)),"")</f>
        <v/>
      </c>
      <c r="Y102" s="384">
        <f ca="1">AO102-O102</f>
        <v>0</v>
      </c>
      <c r="Z102" s="572"/>
      <c r="AB102" s="382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383"/>
      <c r="AO102">
        <f ca="1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spans="1:41" ht="38.25" x14ac:dyDescent="0.2">
      <c r="A103" t="str">
        <f ca="1">ORÇAMENTO!C103</f>
        <v>S</v>
      </c>
      <c r="B103">
        <f ca="1">ORÇAMENTO!D103</f>
        <v>0</v>
      </c>
      <c r="C103" s="116" t="str">
        <f t="shared" ca="1" si="1"/>
        <v>F</v>
      </c>
      <c r="D103" s="119" t="str">
        <f ca="1">ORÇAMENTO!O103</f>
        <v>6.3.5.</v>
      </c>
      <c r="E103" s="172" t="str">
        <f t="shared" ca="1" si="2"/>
        <v>JOELHO 90 GRAUS, PVC, SOLDÁVEL, DN 25MM, INSTALADO EM RAMAL OU SUB-RAMAL DE ÁGUA - FORNECIMENTO E INSTALAÇÃO. AF_06/2022</v>
      </c>
      <c r="F103" s="173" t="str">
        <f ca="1">IF(RegimeExecucao="Global","",ORÇAMENTO.Unidade)</f>
        <v>UN</v>
      </c>
      <c r="G103" s="124">
        <f ca="1">IF(RegimeExecucao="Global","",ORÇAMENTO!T103)</f>
        <v>12</v>
      </c>
      <c r="H103" s="124">
        <f ca="1">IF(RegimeExecucao="Global","",ORÇAMENTO!W103)</f>
        <v>14.98</v>
      </c>
      <c r="I103" s="127">
        <f ca="1">ORÇAMENTO!X103</f>
        <v>179.76</v>
      </c>
      <c r="J103" s="378">
        <f ca="1">IF($A103="S",IF(CAIXA.Modo,BM.AFAnterior,BM.MEDAnterior),IF(AND(RegimeExecucao="Global",$I103&gt;0,COUNTIF($AB$13:$AM$13,BM.medicao-1)&gt;0),M103/$I103*100,0))</f>
        <v>0</v>
      </c>
      <c r="K103" s="124">
        <f t="shared" ca="1" si="3"/>
        <v>0</v>
      </c>
      <c r="L103" s="379">
        <f ca="1">IF($A103="S",IF(CAIXA.Modo,BM.AFAcumulado,BM.MEDAcumulado),IF(AND(RegimeExecucao="Global",$I103&gt;0,COUNTIF($AB$13:$AM$13,BM.medicao)&gt;0),O103/$I103*100,0))</f>
        <v>0</v>
      </c>
      <c r="M103" s="380">
        <f ca="1">IF($A103="S",VTOTALBM,IF($A103=0,0,ROUND(SomaAgrupBM,15-13*ORÇAMENTO!$AF$11)))</f>
        <v>0</v>
      </c>
      <c r="N103" s="381">
        <f t="shared" ca="1" si="4"/>
        <v>0</v>
      </c>
      <c r="O103" s="127">
        <f ca="1">IF($A103="S",VTOTALBM,IF($A103=0,0,ROUND(SomaAgrupBM,15-13*ORÇAMENTO!$AF$11)))</f>
        <v>0</v>
      </c>
      <c r="Q103" s="382"/>
      <c r="R103" s="383"/>
      <c r="T103" s="119" t="str">
        <f t="shared" ca="1" si="5"/>
        <v/>
      </c>
      <c r="U103" s="172" t="str">
        <f t="shared" ca="1" si="6"/>
        <v/>
      </c>
      <c r="V103" s="173" t="str">
        <f ca="1">IF(AND($W103&gt;0,RegimeExecucao="Unitário"),$F103,"")</f>
        <v/>
      </c>
      <c r="W103" s="547">
        <f ca="1">IF($Y103&gt;0,CHOOSE(MATCH(RegimeExecucao,{"Unitário","Global"},0),IF($A103="S",$Y103/$X103,""),($Y103/$X103)*100),0)</f>
        <v>0</v>
      </c>
      <c r="X103" s="384" t="str">
        <f ca="1">IF($Y103&gt;0,CHOOSE(MATCH(RegimeExecucao,{"Unitário","Global"},0),IF($A103="S",ROUND($H103,ORÇAMENTO!$AF$10),""),ROUND($I103,ORÇAMENTO!$AF$11)),"")</f>
        <v/>
      </c>
      <c r="Y103" s="384">
        <f t="shared" ca="1" si="7"/>
        <v>0</v>
      </c>
      <c r="Z103" s="572"/>
      <c r="AB103" s="382"/>
      <c r="AC103" s="516"/>
      <c r="AD103" s="516"/>
      <c r="AE103" s="516"/>
      <c r="AF103" s="516"/>
      <c r="AG103" s="516"/>
      <c r="AH103" s="516"/>
      <c r="AI103" s="516"/>
      <c r="AJ103" s="516"/>
      <c r="AK103" s="516"/>
      <c r="AL103" s="516"/>
      <c r="AM103" s="383"/>
      <c r="AO103">
        <f ca="1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spans="1:41" ht="38.25" x14ac:dyDescent="0.2">
      <c r="A104" t="str">
        <f ca="1">ORÇAMENTO!C104</f>
        <v>S</v>
      </c>
      <c r="B104">
        <f ca="1">ORÇAMENTO!D104</f>
        <v>0</v>
      </c>
      <c r="C104" s="116" t="str">
        <f t="shared" ca="1" si="1"/>
        <v>F</v>
      </c>
      <c r="D104" s="119" t="str">
        <f ca="1">ORÇAMENTO!O104</f>
        <v>6.3.6.</v>
      </c>
      <c r="E104" s="172" t="str">
        <f t="shared" ca="1" si="2"/>
        <v>TE, PVC, SOLDÁVEL, DN 25MM, INSTALADO EM RAMAL DE DISTRIBUIÇÃO DE ÁGUA - FORNECIMENTO E INSTALAÇÃO. AF_06/2022</v>
      </c>
      <c r="F104" s="173" t="str">
        <f ca="1">IF(RegimeExecucao="Global","",ORÇAMENTO.Unidade)</f>
        <v>UN</v>
      </c>
      <c r="G104" s="124">
        <f ca="1">IF(RegimeExecucao="Global","",ORÇAMENTO!T104)</f>
        <v>18</v>
      </c>
      <c r="H104" s="124">
        <f ca="1">IF(RegimeExecucao="Global","",ORÇAMENTO!W104)</f>
        <v>18.760000000000002</v>
      </c>
      <c r="I104" s="127">
        <f ca="1">ORÇAMENTO!X104</f>
        <v>337.68</v>
      </c>
      <c r="J104" s="378">
        <f ca="1">IF($A104="S",IF(CAIXA.Modo,BM.AFAnterior,BM.MEDAnterior),IF(AND(RegimeExecucao="Global",$I104&gt;0,COUNTIF($AB$13:$AM$13,BM.medicao-1)&gt;0),M104/$I104*100,0))</f>
        <v>0</v>
      </c>
      <c r="K104" s="124">
        <f t="shared" ca="1" si="3"/>
        <v>0</v>
      </c>
      <c r="L104" s="379">
        <f ca="1">IF($A104="S",IF(CAIXA.Modo,BM.AFAcumulado,BM.MEDAcumulado),IF(AND(RegimeExecucao="Global",$I104&gt;0,COUNTIF($AB$13:$AM$13,BM.medicao)&gt;0),O104/$I104*100,0))</f>
        <v>0</v>
      </c>
      <c r="M104" s="380">
        <f ca="1">IF($A104="S",VTOTALBM,IF($A104=0,0,ROUND(SomaAgrupBM,15-13*ORÇAMENTO!$AF$11)))</f>
        <v>0</v>
      </c>
      <c r="N104" s="381">
        <f t="shared" ca="1" si="4"/>
        <v>0</v>
      </c>
      <c r="O104" s="127">
        <f ca="1">IF($A104="S",VTOTALBM,IF($A104=0,0,ROUND(SomaAgrupBM,15-13*ORÇAMENTO!$AF$11)))</f>
        <v>0</v>
      </c>
      <c r="Q104" s="382"/>
      <c r="R104" s="383"/>
      <c r="T104" s="119" t="str">
        <f t="shared" ca="1" si="5"/>
        <v/>
      </c>
      <c r="U104" s="172" t="str">
        <f t="shared" ca="1" si="6"/>
        <v/>
      </c>
      <c r="V104" s="173" t="str">
        <f ca="1">IF(AND($W104&gt;0,RegimeExecucao="Unitário"),$F104,"")</f>
        <v/>
      </c>
      <c r="W104" s="547">
        <f ca="1">IF($Y104&gt;0,CHOOSE(MATCH(RegimeExecucao,{"Unitário","Global"},0),IF($A104="S",$Y104/$X104,""),($Y104/$X104)*100),0)</f>
        <v>0</v>
      </c>
      <c r="X104" s="384" t="str">
        <f ca="1">IF($Y104&gt;0,CHOOSE(MATCH(RegimeExecucao,{"Unitário","Global"},0),IF($A104="S",ROUND($H104,ORÇAMENTO!$AF$10),""),ROUND($I104,ORÇAMENTO!$AF$11)),"")</f>
        <v/>
      </c>
      <c r="Y104" s="384">
        <f t="shared" ca="1" si="7"/>
        <v>0</v>
      </c>
      <c r="Z104" s="572"/>
      <c r="AB104" s="382"/>
      <c r="AC104" s="516"/>
      <c r="AD104" s="516"/>
      <c r="AE104" s="516"/>
      <c r="AF104" s="516"/>
      <c r="AG104" s="516"/>
      <c r="AH104" s="516"/>
      <c r="AI104" s="516"/>
      <c r="AJ104" s="516"/>
      <c r="AK104" s="516"/>
      <c r="AL104" s="516"/>
      <c r="AM104" s="383"/>
      <c r="AO104">
        <f ca="1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spans="1:41" ht="25.5" x14ac:dyDescent="0.2">
      <c r="A105" t="str">
        <f ca="1">ORÇAMENTO!C105</f>
        <v>S</v>
      </c>
      <c r="B105">
        <f ca="1">ORÇAMENTO!D105</f>
        <v>0</v>
      </c>
      <c r="C105" s="116" t="str">
        <f t="shared" ca="1" si="1"/>
        <v>F</v>
      </c>
      <c r="D105" s="119" t="str">
        <f ca="1">ORÇAMENTO!O105</f>
        <v>6.3.7.</v>
      </c>
      <c r="E105" s="172" t="str">
        <f t="shared" ca="1" si="2"/>
        <v>TUBO, PVC, SOLDÁVEL, DE 50MM, INSTALADO EM PRUMADA DE ÁGUA - FORNECIMENTO E INSTALAÇÃO. AF_06/2022</v>
      </c>
      <c r="F105" s="173" t="str">
        <f ca="1">IF(RegimeExecucao="Global","",ORÇAMENTO.Unidade)</f>
        <v>M</v>
      </c>
      <c r="G105" s="124">
        <f ca="1">IF(RegimeExecucao="Global","",ORÇAMENTO!T105)</f>
        <v>25</v>
      </c>
      <c r="H105" s="124">
        <f ca="1">IF(RegimeExecucao="Global","",ORÇAMENTO!W105)</f>
        <v>21.92</v>
      </c>
      <c r="I105" s="127">
        <f ca="1">ORÇAMENTO!X105</f>
        <v>548</v>
      </c>
      <c r="J105" s="378">
        <f ca="1">IF($A105="S",IF(CAIXA.Modo,BM.AFAnterior,BM.MEDAnterior),IF(AND(RegimeExecucao="Global",$I105&gt;0,COUNTIF($AB$13:$AM$13,BM.medicao-1)&gt;0),M105/$I105*100,0))</f>
        <v>0</v>
      </c>
      <c r="K105" s="124">
        <f t="shared" ca="1" si="3"/>
        <v>0</v>
      </c>
      <c r="L105" s="379">
        <f ca="1">IF($A105="S",IF(CAIXA.Modo,BM.AFAcumulado,BM.MEDAcumulado),IF(AND(RegimeExecucao="Global",$I105&gt;0,COUNTIF($AB$13:$AM$13,BM.medicao)&gt;0),O105/$I105*100,0))</f>
        <v>0</v>
      </c>
      <c r="M105" s="380">
        <f ca="1">IF($A105="S",VTOTALBM,IF($A105=0,0,ROUND(SomaAgrupBM,15-13*ORÇAMENTO!$AF$11)))</f>
        <v>0</v>
      </c>
      <c r="N105" s="381">
        <f t="shared" ca="1" si="4"/>
        <v>0</v>
      </c>
      <c r="O105" s="127">
        <f ca="1">IF($A105="S",VTOTALBM,IF($A105=0,0,ROUND(SomaAgrupBM,15-13*ORÇAMENTO!$AF$11)))</f>
        <v>0</v>
      </c>
      <c r="Q105" s="382"/>
      <c r="R105" s="383"/>
      <c r="T105" s="119" t="str">
        <f t="shared" ca="1" si="5"/>
        <v/>
      </c>
      <c r="U105" s="172" t="str">
        <f t="shared" ca="1" si="6"/>
        <v/>
      </c>
      <c r="V105" s="173" t="str">
        <f ca="1">IF(AND($W105&gt;0,RegimeExecucao="Unitário"),$F105,"")</f>
        <v/>
      </c>
      <c r="W105" s="547">
        <f ca="1">IF($Y105&gt;0,CHOOSE(MATCH(RegimeExecucao,{"Unitário","Global"},0),IF($A105="S",$Y105/$X105,""),($Y105/$X105)*100),0)</f>
        <v>0</v>
      </c>
      <c r="X105" s="384" t="str">
        <f ca="1">IF($Y105&gt;0,CHOOSE(MATCH(RegimeExecucao,{"Unitário","Global"},0),IF($A105="S",ROUND($H105,ORÇAMENTO!$AF$10),""),ROUND($I105,ORÇAMENTO!$AF$11)),"")</f>
        <v/>
      </c>
      <c r="Y105" s="384">
        <f t="shared" ca="1" si="7"/>
        <v>0</v>
      </c>
      <c r="Z105" s="572"/>
      <c r="AB105" s="382"/>
      <c r="AC105" s="516"/>
      <c r="AD105" s="516"/>
      <c r="AE105" s="516"/>
      <c r="AF105" s="516"/>
      <c r="AG105" s="516"/>
      <c r="AH105" s="516"/>
      <c r="AI105" s="516"/>
      <c r="AJ105" s="516"/>
      <c r="AK105" s="516"/>
      <c r="AL105" s="516"/>
      <c r="AM105" s="383"/>
      <c r="AO105">
        <f ca="1">IF($A105="S",IF(BM!$I105=0,0,CHOOSE(MATCH(RegimeExecucao,{"Global","Unitário"},0),ROUND(ROUND(BM.MEDAcumulado,15-13*BM!$A$9)/100*BM!$I105,15-13*ORÇAMENTO!$AF$11),ROUND(ROUND(BM.MEDAcumulado,15-13*BM!$A$9)*ROUND(BM!$H105,15-13*ORÇAMENTO!$AF$10),15-13*ORÇAMENTO!$AF$11))),IF($A105=0,0,ROUND(SomaAgrupBM,15-13*ORÇAMENTO!$AF$11)))</f>
        <v>0</v>
      </c>
    </row>
    <row r="106" spans="1:41" ht="25.5" x14ac:dyDescent="0.2">
      <c r="A106" t="str">
        <f ca="1">ORÇAMENTO!C106</f>
        <v>S</v>
      </c>
      <c r="B106">
        <f ca="1">ORÇAMENTO!D106</f>
        <v>0</v>
      </c>
      <c r="C106" s="116" t="str">
        <f t="shared" ca="1" si="1"/>
        <v>F</v>
      </c>
      <c r="D106" s="119" t="str">
        <f ca="1">ORÇAMENTO!O106</f>
        <v>6.3.8.</v>
      </c>
      <c r="E106" s="172" t="str">
        <f t="shared" ca="1" si="2"/>
        <v>JOELHO 90 GRAUS, PVC, SOLDÁVEL, DN 50MM, INSTALADO EM PRUMADA DE ÁGUA - FORNECIMENTO E INSTALAÇÃO. AF_06/2022</v>
      </c>
      <c r="F106" s="173" t="str">
        <f ca="1">IF(RegimeExecucao="Global","",ORÇAMENTO.Unidade)</f>
        <v>UN</v>
      </c>
      <c r="G106" s="124">
        <f ca="1">IF(RegimeExecucao="Global","",ORÇAMENTO!T106)</f>
        <v>8</v>
      </c>
      <c r="H106" s="124">
        <f ca="1">IF(RegimeExecucao="Global","",ORÇAMENTO!W106)</f>
        <v>20.39</v>
      </c>
      <c r="I106" s="127">
        <f ca="1">ORÇAMENTO!X106</f>
        <v>163.12</v>
      </c>
      <c r="J106" s="378">
        <f ca="1">IF($A106="S",IF(CAIXA.Modo,BM.AFAnterior,BM.MEDAnterior),IF(AND(RegimeExecucao="Global",$I106&gt;0,COUNTIF($AB$13:$AM$13,BM.medicao-1)&gt;0),M106/$I106*100,0))</f>
        <v>0</v>
      </c>
      <c r="K106" s="124">
        <f t="shared" ca="1" si="3"/>
        <v>0</v>
      </c>
      <c r="L106" s="379">
        <f ca="1">IF($A106="S",IF(CAIXA.Modo,BM.AFAcumulado,BM.MEDAcumulado),IF(AND(RegimeExecucao="Global",$I106&gt;0,COUNTIF($AB$13:$AM$13,BM.medicao)&gt;0),O106/$I106*100,0))</f>
        <v>0</v>
      </c>
      <c r="M106" s="380">
        <f ca="1">IF($A106="S",VTOTALBM,IF($A106=0,0,ROUND(SomaAgrupBM,15-13*ORÇAMENTO!$AF$11)))</f>
        <v>0</v>
      </c>
      <c r="N106" s="381">
        <f t="shared" ca="1" si="4"/>
        <v>0</v>
      </c>
      <c r="O106" s="127">
        <f ca="1">IF($A106="S",VTOTALBM,IF($A106=0,0,ROUND(SomaAgrupBM,15-13*ORÇAMENTO!$AF$11)))</f>
        <v>0</v>
      </c>
      <c r="Q106" s="382"/>
      <c r="R106" s="383"/>
      <c r="T106" s="119" t="str">
        <f t="shared" ca="1" si="5"/>
        <v/>
      </c>
      <c r="U106" s="172" t="str">
        <f t="shared" ca="1" si="6"/>
        <v/>
      </c>
      <c r="V106" s="173" t="str">
        <f ca="1">IF(AND($W106&gt;0,RegimeExecucao="Unitário"),$F106,"")</f>
        <v/>
      </c>
      <c r="W106" s="547">
        <f ca="1">IF($Y106&gt;0,CHOOSE(MATCH(RegimeExecucao,{"Unitário","Global"},0),IF($A106="S",$Y106/$X106,""),($Y106/$X106)*100),0)</f>
        <v>0</v>
      </c>
      <c r="X106" s="384" t="str">
        <f ca="1">IF($Y106&gt;0,CHOOSE(MATCH(RegimeExecucao,{"Unitário","Global"},0),IF($A106="S",ROUND($H106,ORÇAMENTO!$AF$10),""),ROUND($I106,ORÇAMENTO!$AF$11)),"")</f>
        <v/>
      </c>
      <c r="Y106" s="384">
        <f t="shared" ca="1" si="7"/>
        <v>0</v>
      </c>
      <c r="Z106" s="572"/>
      <c r="AB106" s="382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383"/>
      <c r="AO106">
        <f ca="1">IF($A106="S",IF(BM!$I106=0,0,CHOOSE(MATCH(RegimeExecucao,{"Global","Unitário"},0),ROUND(ROUND(BM.MEDAcumulado,15-13*BM!$A$9)/100*BM!$I106,15-13*ORÇAMENTO!$AF$11),ROUND(ROUND(BM.MEDAcumulado,15-13*BM!$A$9)*ROUND(BM!$H106,15-13*ORÇAMENTO!$AF$10),15-13*ORÇAMENTO!$AF$11))),IF($A106=0,0,ROUND(SomaAgrupBM,15-13*ORÇAMENTO!$AF$11)))</f>
        <v>0</v>
      </c>
    </row>
    <row r="107" spans="1:41" ht="38.25" x14ac:dyDescent="0.2">
      <c r="A107" t="str">
        <f ca="1">ORÇAMENTO!C107</f>
        <v>S</v>
      </c>
      <c r="B107">
        <f ca="1">ORÇAMENTO!D107</f>
        <v>0</v>
      </c>
      <c r="C107" s="116" t="str">
        <f t="shared" ca="1" si="1"/>
        <v>F</v>
      </c>
      <c r="D107" s="119" t="str">
        <f ca="1">ORÇAMENTO!O107</f>
        <v>6.3.9.</v>
      </c>
      <c r="E107" s="172" t="str">
        <f t="shared" ca="1" si="2"/>
        <v>CAIXA D´ÁGUA EM POLIETILENO, 500 LITROS (INCLUSOS TUBOS, CONEXÕES E TORNEIRA DE BÓIA) - FORNECIMENTO E INSTALAÇÃO. AF_06/2021</v>
      </c>
      <c r="F107" s="173" t="str">
        <f ca="1">IF(RegimeExecucao="Global","",ORÇAMENTO.Unidade)</f>
        <v>UN</v>
      </c>
      <c r="G107" s="124">
        <f ca="1">IF(RegimeExecucao="Global","",ORÇAMENTO!T107)</f>
        <v>2</v>
      </c>
      <c r="H107" s="124">
        <f ca="1">IF(RegimeExecucao="Global","",ORÇAMENTO!W107)</f>
        <v>775.1</v>
      </c>
      <c r="I107" s="127">
        <f ca="1">ORÇAMENTO!X107</f>
        <v>1550.2</v>
      </c>
      <c r="J107" s="378">
        <f ca="1">IF($A107="S",IF(CAIXA.Modo,BM.AFAnterior,BM.MEDAnterior),IF(AND(RegimeExecucao="Global",$I107&gt;0,COUNTIF($AB$13:$AM$13,BM.medicao-1)&gt;0),M107/$I107*100,0))</f>
        <v>0</v>
      </c>
      <c r="K107" s="124">
        <f t="shared" ca="1" si="3"/>
        <v>0</v>
      </c>
      <c r="L107" s="379">
        <f ca="1">IF($A107="S",IF(CAIXA.Modo,BM.AFAcumulado,BM.MEDAcumulado),IF(AND(RegimeExecucao="Global",$I107&gt;0,COUNTIF($AB$13:$AM$13,BM.medicao)&gt;0),O107/$I107*100,0))</f>
        <v>0</v>
      </c>
      <c r="M107" s="380">
        <f ca="1">IF($A107="S",VTOTALBM,IF($A107=0,0,ROUND(SomaAgrupBM,15-13*ORÇAMENTO!$AF$11)))</f>
        <v>0</v>
      </c>
      <c r="N107" s="381">
        <f t="shared" ca="1" si="4"/>
        <v>0</v>
      </c>
      <c r="O107" s="127">
        <f ca="1">IF($A107="S",VTOTALBM,IF($A107=0,0,ROUND(SomaAgrupBM,15-13*ORÇAMENTO!$AF$11)))</f>
        <v>0</v>
      </c>
      <c r="Q107" s="382"/>
      <c r="R107" s="383"/>
      <c r="T107" s="119" t="str">
        <f t="shared" ca="1" si="5"/>
        <v/>
      </c>
      <c r="U107" s="172" t="str">
        <f t="shared" ca="1" si="6"/>
        <v/>
      </c>
      <c r="V107" s="173" t="str">
        <f ca="1">IF(AND($W107&gt;0,RegimeExecucao="Unitário"),$F107,"")</f>
        <v/>
      </c>
      <c r="W107" s="547">
        <f ca="1">IF($Y107&gt;0,CHOOSE(MATCH(RegimeExecucao,{"Unitário","Global"},0),IF($A107="S",$Y107/$X107,""),($Y107/$X107)*100),0)</f>
        <v>0</v>
      </c>
      <c r="X107" s="384" t="str">
        <f ca="1">IF($Y107&gt;0,CHOOSE(MATCH(RegimeExecucao,{"Unitário","Global"},0),IF($A107="S",ROUND($H107,ORÇAMENTO!$AF$10),""),ROUND($I107,ORÇAMENTO!$AF$11)),"")</f>
        <v/>
      </c>
      <c r="Y107" s="384">
        <f t="shared" ca="1" si="7"/>
        <v>0</v>
      </c>
      <c r="Z107" s="572"/>
      <c r="AB107" s="382"/>
      <c r="AC107" s="516"/>
      <c r="AD107" s="516"/>
      <c r="AE107" s="516"/>
      <c r="AF107" s="516"/>
      <c r="AG107" s="516"/>
      <c r="AH107" s="516"/>
      <c r="AI107" s="516"/>
      <c r="AJ107" s="516"/>
      <c r="AK107" s="516"/>
      <c r="AL107" s="516"/>
      <c r="AM107" s="383"/>
      <c r="AO107">
        <f ca="1">IF($A107="S",IF(BM!$I107=0,0,CHOOSE(MATCH(RegimeExecucao,{"Global","Unitário"},0),ROUND(ROUND(BM.MEDAcumulado,15-13*BM!$A$9)/100*BM!$I107,15-13*ORÇAMENTO!$AF$11),ROUND(ROUND(BM.MEDAcumulado,15-13*BM!$A$9)*ROUND(BM!$H107,15-13*ORÇAMENTO!$AF$10),15-13*ORÇAMENTO!$AF$11))),IF($A107=0,0,ROUND(SomaAgrupBM,15-13*ORÇAMENTO!$AF$11)))</f>
        <v>0</v>
      </c>
    </row>
    <row r="108" spans="1:41" ht="38.25" x14ac:dyDescent="0.2">
      <c r="A108" t="str">
        <f ca="1">ORÇAMENTO!C108</f>
        <v>S</v>
      </c>
      <c r="B108">
        <f ca="1">ORÇAMENTO!D108</f>
        <v>0</v>
      </c>
      <c r="C108" s="116" t="str">
        <f t="shared" ca="1" si="1"/>
        <v>F</v>
      </c>
      <c r="D108" s="119" t="str">
        <f ca="1">ORÇAMENTO!O108</f>
        <v>6.3.10.</v>
      </c>
      <c r="E108" s="172" t="str">
        <f t="shared" ca="1" si="2"/>
        <v>TUBO PVC, SERIE NORMAL, ESGOTO PREDIAL, DN 50 MM, FORNECIDO E INSTALADO EM RAMAL DE DESCARGA OU RAMAL DE ESGOTO SANITÁRIO. AF_08/2022</v>
      </c>
      <c r="F108" s="173" t="str">
        <f ca="1">IF(RegimeExecucao="Global","",ORÇAMENTO.Unidade)</f>
        <v>M</v>
      </c>
      <c r="G108" s="124">
        <f ca="1">IF(RegimeExecucao="Global","",ORÇAMENTO!T108)</f>
        <v>28</v>
      </c>
      <c r="H108" s="124">
        <f ca="1">IF(RegimeExecucao="Global","",ORÇAMENTO!W108)</f>
        <v>42.34</v>
      </c>
      <c r="I108" s="127">
        <f ca="1">ORÇAMENTO!X108</f>
        <v>1185.52</v>
      </c>
      <c r="J108" s="378">
        <f ca="1">IF($A108="S",IF(CAIXA.Modo,BM.AFAnterior,BM.MEDAnterior),IF(AND(RegimeExecucao="Global",$I108&gt;0,COUNTIF($AB$13:$AM$13,BM.medicao-1)&gt;0),M108/$I108*100,0))</f>
        <v>0</v>
      </c>
      <c r="K108" s="124">
        <f t="shared" ca="1" si="3"/>
        <v>0</v>
      </c>
      <c r="L108" s="379">
        <f ca="1">IF($A108="S",IF(CAIXA.Modo,BM.AFAcumulado,BM.MEDAcumulado),IF(AND(RegimeExecucao="Global",$I108&gt;0,COUNTIF($AB$13:$AM$13,BM.medicao)&gt;0),O108/$I108*100,0))</f>
        <v>0</v>
      </c>
      <c r="M108" s="380">
        <f ca="1">IF($A108="S",VTOTALBM,IF($A108=0,0,ROUND(SomaAgrupBM,15-13*ORÇAMENTO!$AF$11)))</f>
        <v>0</v>
      </c>
      <c r="N108" s="381">
        <f t="shared" ca="1" si="4"/>
        <v>0</v>
      </c>
      <c r="O108" s="127">
        <f ca="1">IF($A108="S",VTOTALBM,IF($A108=0,0,ROUND(SomaAgrupBM,15-13*ORÇAMENTO!$AF$11)))</f>
        <v>0</v>
      </c>
      <c r="Q108" s="382"/>
      <c r="R108" s="383"/>
      <c r="T108" s="119" t="str">
        <f t="shared" ca="1" si="5"/>
        <v/>
      </c>
      <c r="U108" s="172" t="str">
        <f t="shared" ca="1" si="6"/>
        <v/>
      </c>
      <c r="V108" s="173" t="str">
        <f ca="1">IF(AND($W108&gt;0,RegimeExecucao="Unitário"),$F108,"")</f>
        <v/>
      </c>
      <c r="W108" s="547">
        <f ca="1">IF($Y108&gt;0,CHOOSE(MATCH(RegimeExecucao,{"Unitário","Global"},0),IF($A108="S",$Y108/$X108,""),($Y108/$X108)*100),0)</f>
        <v>0</v>
      </c>
      <c r="X108" s="384" t="str">
        <f ca="1">IF($Y108&gt;0,CHOOSE(MATCH(RegimeExecucao,{"Unitário","Global"},0),IF($A108="S",ROUND($H108,ORÇAMENTO!$AF$10),""),ROUND($I108,ORÇAMENTO!$AF$11)),"")</f>
        <v/>
      </c>
      <c r="Y108" s="384">
        <f t="shared" ca="1" si="7"/>
        <v>0</v>
      </c>
      <c r="Z108" s="572"/>
      <c r="AB108" s="382"/>
      <c r="AC108" s="516"/>
      <c r="AD108" s="516"/>
      <c r="AE108" s="516"/>
      <c r="AF108" s="516"/>
      <c r="AG108" s="516"/>
      <c r="AH108" s="516"/>
      <c r="AI108" s="516"/>
      <c r="AJ108" s="516"/>
      <c r="AK108" s="516"/>
      <c r="AL108" s="516"/>
      <c r="AM108" s="383"/>
      <c r="AO108">
        <f ca="1">IF($A108="S",IF(BM!$I108=0,0,CHOOSE(MATCH(RegimeExecucao,{"Global","Unitário"},0),ROUND(ROUND(BM.MEDAcumulado,15-13*BM!$A$9)/100*BM!$I108,15-13*ORÇAMENTO!$AF$11),ROUND(ROUND(BM.MEDAcumulado,15-13*BM!$A$9)*ROUND(BM!$H108,15-13*ORÇAMENTO!$AF$10),15-13*ORÇAMENTO!$AF$11))),IF($A108=0,0,ROUND(SomaAgrupBM,15-13*ORÇAMENTO!$AF$11)))</f>
        <v>0</v>
      </c>
    </row>
    <row r="109" spans="1:41" ht="38.25" x14ac:dyDescent="0.2">
      <c r="A109" t="str">
        <f ca="1">ORÇAMENTO!C109</f>
        <v>S</v>
      </c>
      <c r="B109">
        <f ca="1">ORÇAMENTO!D109</f>
        <v>0</v>
      </c>
      <c r="C109" s="116" t="str">
        <f t="shared" ca="1" si="1"/>
        <v>F</v>
      </c>
      <c r="D109" s="119" t="str">
        <f ca="1">ORÇAMENTO!O109</f>
        <v>6.3.11.</v>
      </c>
      <c r="E109" s="172" t="str">
        <f t="shared" ca="1" si="2"/>
        <v>TUBO PVC, SERIE NORMAL, ESGOTO PREDIAL, DN 100 MM, FORNECIDO E INSTALADO EM RAMAL DE DESCARGA OU RAMAL DE ESGOTO SANITÁRIO. AF_08/2022</v>
      </c>
      <c r="F109" s="173" t="str">
        <f ca="1">IF(RegimeExecucao="Global","",ORÇAMENTO.Unidade)</f>
        <v>M</v>
      </c>
      <c r="G109" s="124">
        <f ca="1">IF(RegimeExecucao="Global","",ORÇAMENTO!T109)</f>
        <v>40</v>
      </c>
      <c r="H109" s="124">
        <f ca="1">IF(RegimeExecucao="Global","",ORÇAMENTO!W109)</f>
        <v>58.97</v>
      </c>
      <c r="I109" s="127">
        <f ca="1">ORÇAMENTO!X109</f>
        <v>2358.8000000000002</v>
      </c>
      <c r="J109" s="378">
        <f ca="1">IF($A109="S",IF(CAIXA.Modo,BM.AFAnterior,BM.MEDAnterior),IF(AND(RegimeExecucao="Global",$I109&gt;0,COUNTIF($AB$13:$AM$13,BM.medicao-1)&gt;0),M109/$I109*100,0))</f>
        <v>0</v>
      </c>
      <c r="K109" s="124">
        <f t="shared" ca="1" si="3"/>
        <v>0</v>
      </c>
      <c r="L109" s="379">
        <f ca="1">IF($A109="S",IF(CAIXA.Modo,BM.AFAcumulado,BM.MEDAcumulado),IF(AND(RegimeExecucao="Global",$I109&gt;0,COUNTIF($AB$13:$AM$13,BM.medicao)&gt;0),O109/$I109*100,0))</f>
        <v>0</v>
      </c>
      <c r="M109" s="380">
        <f ca="1">IF($A109="S",VTOTALBM,IF($A109=0,0,ROUND(SomaAgrupBM,15-13*ORÇAMENTO!$AF$11)))</f>
        <v>0</v>
      </c>
      <c r="N109" s="381">
        <f t="shared" ca="1" si="4"/>
        <v>0</v>
      </c>
      <c r="O109" s="127">
        <f ca="1">IF($A109="S",VTOTALBM,IF($A109=0,0,ROUND(SomaAgrupBM,15-13*ORÇAMENTO!$AF$11)))</f>
        <v>0</v>
      </c>
      <c r="Q109" s="382"/>
      <c r="R109" s="383"/>
      <c r="T109" s="119" t="str">
        <f t="shared" ca="1" si="5"/>
        <v/>
      </c>
      <c r="U109" s="172" t="str">
        <f t="shared" ca="1" si="6"/>
        <v/>
      </c>
      <c r="V109" s="173" t="str">
        <f ca="1">IF(AND($W109&gt;0,RegimeExecucao="Unitário"),$F109,"")</f>
        <v/>
      </c>
      <c r="W109" s="547">
        <f ca="1">IF($Y109&gt;0,CHOOSE(MATCH(RegimeExecucao,{"Unitário","Global"},0),IF($A109="S",$Y109/$X109,""),($Y109/$X109)*100),0)</f>
        <v>0</v>
      </c>
      <c r="X109" s="384" t="str">
        <f ca="1">IF($Y109&gt;0,CHOOSE(MATCH(RegimeExecucao,{"Unitário","Global"},0),IF($A109="S",ROUND($H109,ORÇAMENTO!$AF$10),""),ROUND($I109,ORÇAMENTO!$AF$11)),"")</f>
        <v/>
      </c>
      <c r="Y109" s="384">
        <f t="shared" ca="1" si="7"/>
        <v>0</v>
      </c>
      <c r="Z109" s="572"/>
      <c r="AB109" s="382"/>
      <c r="AC109" s="516"/>
      <c r="AD109" s="516"/>
      <c r="AE109" s="516"/>
      <c r="AF109" s="516"/>
      <c r="AG109" s="516"/>
      <c r="AH109" s="516"/>
      <c r="AI109" s="516"/>
      <c r="AJ109" s="516"/>
      <c r="AK109" s="516"/>
      <c r="AL109" s="516"/>
      <c r="AM109" s="383"/>
      <c r="AO109">
        <f ca="1">IF($A109="S",IF(BM!$I109=0,0,CHOOSE(MATCH(RegimeExecucao,{"Global","Unitário"},0),ROUND(ROUND(BM.MEDAcumulado,15-13*BM!$A$9)/100*BM!$I109,15-13*ORÇAMENTO!$AF$11),ROUND(ROUND(BM.MEDAcumulado,15-13*BM!$A$9)*ROUND(BM!$H109,15-13*ORÇAMENTO!$AF$10),15-13*ORÇAMENTO!$AF$11))),IF($A109=0,0,ROUND(SomaAgrupBM,15-13*ORÇAMENTO!$AF$11)))</f>
        <v>0</v>
      </c>
    </row>
    <row r="110" spans="1:41" ht="38.25" x14ac:dyDescent="0.2">
      <c r="A110" t="str">
        <f ca="1">ORÇAMENTO!C110</f>
        <v>S</v>
      </c>
      <c r="B110">
        <f ca="1">ORÇAMENTO!D110</f>
        <v>0</v>
      </c>
      <c r="C110" s="116" t="str">
        <f t="shared" ca="1" si="1"/>
        <v>F</v>
      </c>
      <c r="D110" s="119" t="str">
        <f ca="1">ORÇAMENTO!O110</f>
        <v>6.3.12.</v>
      </c>
      <c r="E110" s="172" t="str">
        <f t="shared" ca="1" si="2"/>
        <v>CAIXA SIFONADA, PVC, DN 100 X 100 X 50 MM, JUNTA ELÁSTICA, FORNECIDA E INSTALADA EM RAMAL DE DESCARGA OU EM RAMAL DE ESGOTO SANITÁRIO. AF_08/2022</v>
      </c>
      <c r="F110" s="173" t="str">
        <f ca="1">IF(RegimeExecucao="Global","",ORÇAMENTO.Unidade)</f>
        <v>UN</v>
      </c>
      <c r="G110" s="124">
        <f ca="1">IF(RegimeExecucao="Global","",ORÇAMENTO!T110)</f>
        <v>7</v>
      </c>
      <c r="H110" s="124">
        <f ca="1">IF(RegimeExecucao="Global","",ORÇAMENTO!W110)</f>
        <v>71.790000000000006</v>
      </c>
      <c r="I110" s="127">
        <f ca="1">ORÇAMENTO!X110</f>
        <v>502.53</v>
      </c>
      <c r="J110" s="378">
        <f ca="1">IF($A110="S",IF(CAIXA.Modo,BM.AFAnterior,BM.MEDAnterior),IF(AND(RegimeExecucao="Global",$I110&gt;0,COUNTIF($AB$13:$AM$13,BM.medicao-1)&gt;0),M110/$I110*100,0))</f>
        <v>0</v>
      </c>
      <c r="K110" s="124">
        <f t="shared" ca="1" si="3"/>
        <v>0</v>
      </c>
      <c r="L110" s="379">
        <f ca="1">IF($A110="S",IF(CAIXA.Modo,BM.AFAcumulado,BM.MEDAcumulado),IF(AND(RegimeExecucao="Global",$I110&gt;0,COUNTIF($AB$13:$AM$13,BM.medicao)&gt;0),O110/$I110*100,0))</f>
        <v>0</v>
      </c>
      <c r="M110" s="380">
        <f ca="1">IF($A110="S",VTOTALBM,IF($A110=0,0,ROUND(SomaAgrupBM,15-13*ORÇAMENTO!$AF$11)))</f>
        <v>0</v>
      </c>
      <c r="N110" s="381">
        <f t="shared" ca="1" si="4"/>
        <v>0</v>
      </c>
      <c r="O110" s="127">
        <f ca="1">IF($A110="S",VTOTALBM,IF($A110=0,0,ROUND(SomaAgrupBM,15-13*ORÇAMENTO!$AF$11)))</f>
        <v>0</v>
      </c>
      <c r="Q110" s="382"/>
      <c r="R110" s="383"/>
      <c r="T110" s="119" t="str">
        <f t="shared" ca="1" si="5"/>
        <v/>
      </c>
      <c r="U110" s="172" t="str">
        <f t="shared" ca="1" si="6"/>
        <v/>
      </c>
      <c r="V110" s="173" t="str">
        <f ca="1">IF(AND($W110&gt;0,RegimeExecucao="Unitário"),$F110,"")</f>
        <v/>
      </c>
      <c r="W110" s="547">
        <f ca="1">IF($Y110&gt;0,CHOOSE(MATCH(RegimeExecucao,{"Unitário","Global"},0),IF($A110="S",$Y110/$X110,""),($Y110/$X110)*100),0)</f>
        <v>0</v>
      </c>
      <c r="X110" s="384" t="str">
        <f ca="1">IF($Y110&gt;0,CHOOSE(MATCH(RegimeExecucao,{"Unitário","Global"},0),IF($A110="S",ROUND($H110,ORÇAMENTO!$AF$10),""),ROUND($I110,ORÇAMENTO!$AF$11)),"")</f>
        <v/>
      </c>
      <c r="Y110" s="384">
        <f t="shared" ca="1" si="7"/>
        <v>0</v>
      </c>
      <c r="Z110" s="572"/>
      <c r="AB110" s="382"/>
      <c r="AC110" s="516"/>
      <c r="AD110" s="516"/>
      <c r="AE110" s="516"/>
      <c r="AF110" s="516"/>
      <c r="AG110" s="516"/>
      <c r="AH110" s="516"/>
      <c r="AI110" s="516"/>
      <c r="AJ110" s="516"/>
      <c r="AK110" s="516"/>
      <c r="AL110" s="516"/>
      <c r="AM110" s="383"/>
      <c r="AO110">
        <f ca="1">IF($A110="S",IF(BM!$I110=0,0,CHOOSE(MATCH(RegimeExecucao,{"Global","Unitário"},0),ROUND(ROUND(BM.MEDAcumulado,15-13*BM!$A$9)/100*BM!$I110,15-13*ORÇAMENTO!$AF$11),ROUND(ROUND(BM.MEDAcumulado,15-13*BM!$A$9)*ROUND(BM!$H110,15-13*ORÇAMENTO!$AF$10),15-13*ORÇAMENTO!$AF$11))),IF($A110=0,0,ROUND(SomaAgrupBM,15-13*ORÇAMENTO!$AF$11)))</f>
        <v>0</v>
      </c>
    </row>
    <row r="111" spans="1:41" ht="38.25" x14ac:dyDescent="0.2">
      <c r="A111" t="str">
        <f ca="1">ORÇAMENTO!C111</f>
        <v>S</v>
      </c>
      <c r="B111">
        <f ca="1">ORÇAMENTO!D111</f>
        <v>0</v>
      </c>
      <c r="C111" s="116" t="str">
        <f ca="1">IF(OR($I111&gt;0,$A111=1,$A111=2,$A111=3,$A111=4),"F","")</f>
        <v>F</v>
      </c>
      <c r="D111" s="119" t="str">
        <f ca="1">ORÇAMENTO!O111</f>
        <v>6.3.13.</v>
      </c>
      <c r="E111" s="172" t="str">
        <f ca="1">ORÇAMENTO.Descricao</f>
        <v>JOELHO 45 GRAUS, PVC, SERIE NORMAL, ESGOTO PREDIAL, DN 50 MM, JUNTA ELÁSTICA, FORNECIDO E INSTALADO EM RAMAL DE DESCARGA OU RAMAL DE ESGOTO SANITÁRIO. AF_08/2022</v>
      </c>
      <c r="F111" s="173" t="str">
        <f ca="1">IF(RegimeExecucao="Global","",ORÇAMENTO.Unidade)</f>
        <v>UN</v>
      </c>
      <c r="G111" s="124">
        <f ca="1">IF(RegimeExecucao="Global","",ORÇAMENTO!T111)</f>
        <v>5</v>
      </c>
      <c r="H111" s="124">
        <f ca="1">IF(RegimeExecucao="Global","",ORÇAMENTO!W111)</f>
        <v>22.84</v>
      </c>
      <c r="I111" s="127">
        <f ca="1">ORÇAMENTO!X111</f>
        <v>114.2</v>
      </c>
      <c r="J111" s="378">
        <f ca="1">IF($A111="S",IF(CAIXA.Modo,BM.AFAnterior,BM.MEDAnterior),IF(AND(RegimeExecucao="Global",$I111&gt;0,COUNTIF($AB$13:$AM$13,BM.medicao-1)&gt;0),M111/$I111*100,0))</f>
        <v>0</v>
      </c>
      <c r="K111" s="124">
        <f ca="1">L111-J111</f>
        <v>0</v>
      </c>
      <c r="L111" s="379">
        <f ca="1">IF($A111="S",IF(CAIXA.Modo,BM.AFAcumulado,BM.MEDAcumulado),IF(AND(RegimeExecucao="Global",$I111&gt;0,COUNTIF($AB$13:$AM$13,BM.medicao)&gt;0),O111/$I111*100,0))</f>
        <v>0</v>
      </c>
      <c r="M111" s="380">
        <f ca="1">IF($A111="S",VTOTALBM,IF($A111=0,0,ROUND(SomaAgrupBM,15-13*ORÇAMENTO!$AF$11)))</f>
        <v>0</v>
      </c>
      <c r="N111" s="381">
        <f ca="1">O111-M111</f>
        <v>0</v>
      </c>
      <c r="O111" s="127">
        <f ca="1">IF($A111="S",VTOTALBM,IF($A111=0,0,ROUND(SomaAgrupBM,15-13*ORÇAMENTO!$AF$11)))</f>
        <v>0</v>
      </c>
      <c r="Q111" s="382"/>
      <c r="R111" s="383"/>
      <c r="T111" s="119" t="str">
        <f ca="1">IF($W111&gt;0,$D111,"")</f>
        <v/>
      </c>
      <c r="U111" s="172" t="str">
        <f ca="1">IF($W111&gt;0,$E111,"")</f>
        <v/>
      </c>
      <c r="V111" s="173" t="str">
        <f ca="1">IF(AND($W111&gt;0,RegimeExecucao="Unitário"),$F111,"")</f>
        <v/>
      </c>
      <c r="W111" s="547">
        <f ca="1">IF($Y111&gt;0,CHOOSE(MATCH(RegimeExecucao,{"Unitário","Global"},0),IF($A111="S",$Y111/$X111,""),($Y111/$X111)*100),0)</f>
        <v>0</v>
      </c>
      <c r="X111" s="384" t="str">
        <f ca="1">IF($Y111&gt;0,CHOOSE(MATCH(RegimeExecucao,{"Unitário","Global"},0),IF($A111="S",ROUND($H111,ORÇAMENTO!$AF$10),""),ROUND($I111,ORÇAMENTO!$AF$11)),"")</f>
        <v/>
      </c>
      <c r="Y111" s="384">
        <f ca="1">AO111-O111</f>
        <v>0</v>
      </c>
      <c r="Z111" s="572"/>
      <c r="AB111" s="382"/>
      <c r="AC111" s="516"/>
      <c r="AD111" s="516"/>
      <c r="AE111" s="516"/>
      <c r="AF111" s="516"/>
      <c r="AG111" s="516"/>
      <c r="AH111" s="516"/>
      <c r="AI111" s="516"/>
      <c r="AJ111" s="516"/>
      <c r="AK111" s="516"/>
      <c r="AL111" s="516"/>
      <c r="AM111" s="383"/>
      <c r="AO111">
        <f ca="1">IF($A111="S",IF(BM!$I111=0,0,CHOOSE(MATCH(RegimeExecucao,{"Global","Unitário"},0),ROUND(ROUND(BM.MEDAcumulado,15-13*BM!$A$9)/100*BM!$I111,15-13*ORÇAMENTO!$AF$11),ROUND(ROUND(BM.MEDAcumulado,15-13*BM!$A$9)*ROUND(BM!$H111,15-13*ORÇAMENTO!$AF$10),15-13*ORÇAMENTO!$AF$11))),IF($A111=0,0,ROUND(SomaAgrupBM,15-13*ORÇAMENTO!$AF$11)))</f>
        <v>0</v>
      </c>
    </row>
    <row r="112" spans="1:41" ht="38.25" x14ac:dyDescent="0.2">
      <c r="A112" t="str">
        <f ca="1">ORÇAMENTO!C112</f>
        <v>S</v>
      </c>
      <c r="B112">
        <f ca="1">ORÇAMENTO!D112</f>
        <v>0</v>
      </c>
      <c r="C112" s="116" t="str">
        <f t="shared" ca="1" si="1"/>
        <v>F</v>
      </c>
      <c r="D112" s="119" t="str">
        <f ca="1">ORÇAMENTO!O112</f>
        <v>6.3.14.</v>
      </c>
      <c r="E112" s="172" t="str">
        <f t="shared" ca="1" si="2"/>
        <v>FOSSA SEPTICA, SEM FILTRO, EM POLIETILENO DE ALTA DENSIDADE (PEAD), PARA 4 A 7 CONTRIBUINTES, CILINDRICA, COM TAMPA, CAPACIDADE APROXIMADA DE *1100* LITROS (NBR 7229)</v>
      </c>
      <c r="F112" s="173" t="str">
        <f ca="1">IF(RegimeExecucao="Global","",ORÇAMENTO.Unidade)</f>
        <v>UN</v>
      </c>
      <c r="G112" s="124">
        <f ca="1">IF(RegimeExecucao="Global","",ORÇAMENTO!T112)</f>
        <v>1</v>
      </c>
      <c r="H112" s="124">
        <f ca="1">IF(RegimeExecucao="Global","",ORÇAMENTO!W112)</f>
        <v>2131.09</v>
      </c>
      <c r="I112" s="127">
        <f ca="1">ORÇAMENTO!X112</f>
        <v>2131.09</v>
      </c>
      <c r="J112" s="378">
        <f ca="1">IF($A112="S",IF(CAIXA.Modo,BM.AFAnterior,BM.MEDAnterior),IF(AND(RegimeExecucao="Global",$I112&gt;0,COUNTIF($AB$13:$AM$13,BM.medicao-1)&gt;0),M112/$I112*100,0))</f>
        <v>0</v>
      </c>
      <c r="K112" s="124">
        <f t="shared" ca="1" si="3"/>
        <v>0</v>
      </c>
      <c r="L112" s="379">
        <f ca="1">IF($A112="S",IF(CAIXA.Modo,BM.AFAcumulado,BM.MEDAcumulado),IF(AND(RegimeExecucao="Global",$I112&gt;0,COUNTIF($AB$13:$AM$13,BM.medicao)&gt;0),O112/$I112*100,0))</f>
        <v>0</v>
      </c>
      <c r="M112" s="380">
        <f ca="1">IF($A112="S",VTOTALBM,IF($A112=0,0,ROUND(SomaAgrupBM,15-13*ORÇAMENTO!$AF$11)))</f>
        <v>0</v>
      </c>
      <c r="N112" s="381">
        <f t="shared" ca="1" si="4"/>
        <v>0</v>
      </c>
      <c r="O112" s="127">
        <f ca="1">IF($A112="S",VTOTALBM,IF($A112=0,0,ROUND(SomaAgrupBM,15-13*ORÇAMENTO!$AF$11)))</f>
        <v>0</v>
      </c>
      <c r="Q112" s="382"/>
      <c r="R112" s="383"/>
      <c r="T112" s="119" t="str">
        <f t="shared" ca="1" si="5"/>
        <v/>
      </c>
      <c r="U112" s="172" t="str">
        <f t="shared" ca="1" si="6"/>
        <v/>
      </c>
      <c r="V112" s="173" t="str">
        <f ca="1">IF(AND($W112&gt;0,RegimeExecucao="Unitário"),$F112,"")</f>
        <v/>
      </c>
      <c r="W112" s="547">
        <f ca="1">IF($Y112&gt;0,CHOOSE(MATCH(RegimeExecucao,{"Unitário","Global"},0),IF($A112="S",$Y112/$X112,""),($Y112/$X112)*100),0)</f>
        <v>0</v>
      </c>
      <c r="X112" s="384" t="str">
        <f ca="1">IF($Y112&gt;0,CHOOSE(MATCH(RegimeExecucao,{"Unitário","Global"},0),IF($A112="S",ROUND($H112,ORÇAMENTO!$AF$10),""),ROUND($I112,ORÇAMENTO!$AF$11)),"")</f>
        <v/>
      </c>
      <c r="Y112" s="384">
        <f t="shared" ca="1" si="7"/>
        <v>0</v>
      </c>
      <c r="Z112" s="572"/>
      <c r="AB112" s="382"/>
      <c r="AC112" s="516"/>
      <c r="AD112" s="516"/>
      <c r="AE112" s="516"/>
      <c r="AF112" s="516"/>
      <c r="AG112" s="516"/>
      <c r="AH112" s="516"/>
      <c r="AI112" s="516"/>
      <c r="AJ112" s="516"/>
      <c r="AK112" s="516"/>
      <c r="AL112" s="516"/>
      <c r="AM112" s="383"/>
      <c r="AO112">
        <f ca="1">IF($A112="S",IF(BM!$I112=0,0,CHOOSE(MATCH(RegimeExecucao,{"Global","Unitário"},0),ROUND(ROUND(BM.MEDAcumulado,15-13*BM!$A$9)/100*BM!$I112,15-13*ORÇAMENTO!$AF$11),ROUND(ROUND(BM.MEDAcumulado,15-13*BM!$A$9)*ROUND(BM!$H112,15-13*ORÇAMENTO!$AF$10),15-13*ORÇAMENTO!$AF$11))),IF($A112=0,0,ROUND(SomaAgrupBM,15-13*ORÇAMENTO!$AF$11)))</f>
        <v>0</v>
      </c>
    </row>
    <row r="113" spans="1:41" ht="25.5" x14ac:dyDescent="0.2">
      <c r="A113" t="str">
        <f ca="1">ORÇAMENTO!C113</f>
        <v>S</v>
      </c>
      <c r="B113">
        <f ca="1">ORÇAMENTO!D113</f>
        <v>0</v>
      </c>
      <c r="C113" s="116" t="str">
        <f t="shared" ca="1" si="1"/>
        <v>F</v>
      </c>
      <c r="D113" s="119" t="str">
        <f ca="1">ORÇAMENTO!O113</f>
        <v>6.3.15.</v>
      </c>
      <c r="E113" s="172" t="str">
        <f t="shared" ca="1" si="2"/>
        <v>FILTRO ANAEROBIO, EM POLIETILENO DE ALTA DENSIDADE (PEAD), CAPACIDADE *1100* LITROS (NBR 13969)</v>
      </c>
      <c r="F113" s="173" t="str">
        <f ca="1">IF(RegimeExecucao="Global","",ORÇAMENTO.Unidade)</f>
        <v>UN</v>
      </c>
      <c r="G113" s="124">
        <f ca="1">IF(RegimeExecucao="Global","",ORÇAMENTO!T113)</f>
        <v>1</v>
      </c>
      <c r="H113" s="124">
        <f ca="1">IF(RegimeExecucao="Global","",ORÇAMENTO!W113)</f>
        <v>2366.48</v>
      </c>
      <c r="I113" s="127">
        <f ca="1">ORÇAMENTO!X113</f>
        <v>2366.48</v>
      </c>
      <c r="J113" s="378">
        <f ca="1">IF($A113="S",IF(CAIXA.Modo,BM.AFAnterior,BM.MEDAnterior),IF(AND(RegimeExecucao="Global",$I113&gt;0,COUNTIF($AB$13:$AM$13,BM.medicao-1)&gt;0),M113/$I113*100,0))</f>
        <v>0</v>
      </c>
      <c r="K113" s="124">
        <f t="shared" ca="1" si="3"/>
        <v>0</v>
      </c>
      <c r="L113" s="379">
        <f ca="1">IF($A113="S",IF(CAIXA.Modo,BM.AFAcumulado,BM.MEDAcumulado),IF(AND(RegimeExecucao="Global",$I113&gt;0,COUNTIF($AB$13:$AM$13,BM.medicao)&gt;0),O113/$I113*100,0))</f>
        <v>0</v>
      </c>
      <c r="M113" s="380">
        <f ca="1">IF($A113="S",VTOTALBM,IF($A113=0,0,ROUND(SomaAgrupBM,15-13*ORÇAMENTO!$AF$11)))</f>
        <v>0</v>
      </c>
      <c r="N113" s="381">
        <f t="shared" ca="1" si="4"/>
        <v>0</v>
      </c>
      <c r="O113" s="127">
        <f ca="1">IF($A113="S",VTOTALBM,IF($A113=0,0,ROUND(SomaAgrupBM,15-13*ORÇAMENTO!$AF$11)))</f>
        <v>0</v>
      </c>
      <c r="Q113" s="382"/>
      <c r="R113" s="383"/>
      <c r="T113" s="119" t="str">
        <f t="shared" ca="1" si="5"/>
        <v/>
      </c>
      <c r="U113" s="172" t="str">
        <f t="shared" ca="1" si="6"/>
        <v/>
      </c>
      <c r="V113" s="173" t="str">
        <f ca="1">IF(AND($W113&gt;0,RegimeExecucao="Unitário"),$F113,"")</f>
        <v/>
      </c>
      <c r="W113" s="547">
        <f ca="1">IF($Y113&gt;0,CHOOSE(MATCH(RegimeExecucao,{"Unitário","Global"},0),IF($A113="S",$Y113/$X113,""),($Y113/$X113)*100),0)</f>
        <v>0</v>
      </c>
      <c r="X113" s="384" t="str">
        <f ca="1">IF($Y113&gt;0,CHOOSE(MATCH(RegimeExecucao,{"Unitário","Global"},0),IF($A113="S",ROUND($H113,ORÇAMENTO!$AF$10),""),ROUND($I113,ORÇAMENTO!$AF$11)),"")</f>
        <v/>
      </c>
      <c r="Y113" s="384">
        <f t="shared" ca="1" si="7"/>
        <v>0</v>
      </c>
      <c r="Z113" s="572"/>
      <c r="AB113" s="382"/>
      <c r="AC113" s="516"/>
      <c r="AD113" s="516"/>
      <c r="AE113" s="516"/>
      <c r="AF113" s="516"/>
      <c r="AG113" s="516"/>
      <c r="AH113" s="516"/>
      <c r="AI113" s="516"/>
      <c r="AJ113" s="516"/>
      <c r="AK113" s="516"/>
      <c r="AL113" s="516"/>
      <c r="AM113" s="383"/>
      <c r="AO113">
        <f ca="1">IF($A113="S",IF(BM!$I113=0,0,CHOOSE(MATCH(RegimeExecucao,{"Global","Unitário"},0),ROUND(ROUND(BM.MEDAcumulado,15-13*BM!$A$9)/100*BM!$I113,15-13*ORÇAMENTO!$AF$11),ROUND(ROUND(BM.MEDAcumulado,15-13*BM!$A$9)*ROUND(BM!$H113,15-13*ORÇAMENTO!$AF$10),15-13*ORÇAMENTO!$AF$11))),IF($A113=0,0,ROUND(SomaAgrupBM,15-13*ORÇAMENTO!$AF$11)))</f>
        <v>0</v>
      </c>
    </row>
    <row r="114" spans="1:41" x14ac:dyDescent="0.2">
      <c r="A114" t="str">
        <f ca="1">ORÇAMENTO!C114</f>
        <v>S</v>
      </c>
      <c r="B114">
        <f ca="1">ORÇAMENTO!D114</f>
        <v>0</v>
      </c>
      <c r="C114" s="116" t="str">
        <f t="shared" ca="1" si="1"/>
        <v>F</v>
      </c>
      <c r="D114" s="119" t="str">
        <f ca="1">ORÇAMENTO!O114</f>
        <v>6.3.16.</v>
      </c>
      <c r="E114" s="172" t="str">
        <f t="shared" ca="1" si="2"/>
        <v>SUMIDOURO</v>
      </c>
      <c r="F114" s="173" t="str">
        <f ca="1">IF(RegimeExecucao="Global","",ORÇAMENTO.Unidade)</f>
        <v>UN</v>
      </c>
      <c r="G114" s="124">
        <f ca="1">IF(RegimeExecucao="Global","",ORÇAMENTO!T114)</f>
        <v>1</v>
      </c>
      <c r="H114" s="124">
        <f ca="1">IF(RegimeExecucao="Global","",ORÇAMENTO!W114)</f>
        <v>2139.08</v>
      </c>
      <c r="I114" s="127">
        <f ca="1">ORÇAMENTO!X114</f>
        <v>2139.08</v>
      </c>
      <c r="J114" s="378">
        <f ca="1">IF($A114="S",IF(CAIXA.Modo,BM.AFAnterior,BM.MEDAnterior),IF(AND(RegimeExecucao="Global",$I114&gt;0,COUNTIF($AB$13:$AM$13,BM.medicao-1)&gt;0),M114/$I114*100,0))</f>
        <v>0</v>
      </c>
      <c r="K114" s="124">
        <f t="shared" ca="1" si="3"/>
        <v>0</v>
      </c>
      <c r="L114" s="379">
        <f ca="1">IF($A114="S",IF(CAIXA.Modo,BM.AFAcumulado,BM.MEDAcumulado),IF(AND(RegimeExecucao="Global",$I114&gt;0,COUNTIF($AB$13:$AM$13,BM.medicao)&gt;0),O114/$I114*100,0))</f>
        <v>0</v>
      </c>
      <c r="M114" s="380">
        <f ca="1">IF($A114="S",VTOTALBM,IF($A114=0,0,ROUND(SomaAgrupBM,15-13*ORÇAMENTO!$AF$11)))</f>
        <v>0</v>
      </c>
      <c r="N114" s="381">
        <f t="shared" ca="1" si="4"/>
        <v>0</v>
      </c>
      <c r="O114" s="127">
        <f ca="1">IF($A114="S",VTOTALBM,IF($A114=0,0,ROUND(SomaAgrupBM,15-13*ORÇAMENTO!$AF$11)))</f>
        <v>0</v>
      </c>
      <c r="Q114" s="382"/>
      <c r="R114" s="383"/>
      <c r="T114" s="119" t="str">
        <f t="shared" ca="1" si="5"/>
        <v/>
      </c>
      <c r="U114" s="172" t="str">
        <f t="shared" ca="1" si="6"/>
        <v/>
      </c>
      <c r="V114" s="173" t="str">
        <f ca="1">IF(AND($W114&gt;0,RegimeExecucao="Unitário"),$F114,"")</f>
        <v/>
      </c>
      <c r="W114" s="547">
        <f ca="1">IF($Y114&gt;0,CHOOSE(MATCH(RegimeExecucao,{"Unitário","Global"},0),IF($A114="S",$Y114/$X114,""),($Y114/$X114)*100),0)</f>
        <v>0</v>
      </c>
      <c r="X114" s="384" t="str">
        <f ca="1">IF($Y114&gt;0,CHOOSE(MATCH(RegimeExecucao,{"Unitário","Global"},0),IF($A114="S",ROUND($H114,ORÇAMENTO!$AF$10),""),ROUND($I114,ORÇAMENTO!$AF$11)),"")</f>
        <v/>
      </c>
      <c r="Y114" s="384">
        <f t="shared" ca="1" si="7"/>
        <v>0</v>
      </c>
      <c r="Z114" s="572"/>
      <c r="AB114" s="382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383"/>
      <c r="AO114">
        <f ca="1">IF($A114="S",IF(BM!$I114=0,0,CHOOSE(MATCH(RegimeExecucao,{"Global","Unitário"},0),ROUND(ROUND(BM.MEDAcumulado,15-13*BM!$A$9)/100*BM!$I114,15-13*ORÇAMENTO!$AF$11),ROUND(ROUND(BM.MEDAcumulado,15-13*BM!$A$9)*ROUND(BM!$H114,15-13*ORÇAMENTO!$AF$10),15-13*ORÇAMENTO!$AF$11))),IF($A114=0,0,ROUND(SomaAgrupBM,15-13*ORÇAMENTO!$AF$11)))</f>
        <v>0</v>
      </c>
    </row>
    <row r="115" spans="1:41" ht="25.5" x14ac:dyDescent="0.2">
      <c r="A115" t="str">
        <f ca="1">ORÇAMENTO!C115</f>
        <v>S</v>
      </c>
      <c r="B115">
        <f ca="1">ORÇAMENTO!D115</f>
        <v>0</v>
      </c>
      <c r="C115" s="116" t="str">
        <f ca="1">IF(OR($I115&gt;0,$A115=1,$A115=2,$A115=3,$A115=4),"F","")</f>
        <v>F</v>
      </c>
      <c r="D115" s="119" t="str">
        <f ca="1">ORÇAMENTO!O115</f>
        <v>6.3.17.</v>
      </c>
      <c r="E115" s="172" t="str">
        <f ca="1">ORÇAMENTO.Descricao</f>
        <v>CAIXA DE GORDURA PEQUENA (CAPACIDADE: 19 L), CIRCULAR, EM PVC, DIÂMETRO INTERNO= 0,3 M. AF_12/2020</v>
      </c>
      <c r="F115" s="173" t="str">
        <f ca="1">IF(RegimeExecucao="Global","",ORÇAMENTO.Unidade)</f>
        <v>UN</v>
      </c>
      <c r="G115" s="124">
        <f ca="1">IF(RegimeExecucao="Global","",ORÇAMENTO!T115)</f>
        <v>1</v>
      </c>
      <c r="H115" s="124">
        <f ca="1">IF(RegimeExecucao="Global","",ORÇAMENTO!W115)</f>
        <v>520.84</v>
      </c>
      <c r="I115" s="127">
        <f ca="1">ORÇAMENTO!X115</f>
        <v>520.84</v>
      </c>
      <c r="J115" s="378">
        <f ca="1">IF($A115="S",IF(CAIXA.Modo,BM.AFAnterior,BM.MEDAnterior),IF(AND(RegimeExecucao="Global",$I115&gt;0,COUNTIF($AB$13:$AM$13,BM.medicao-1)&gt;0),M115/$I115*100,0))</f>
        <v>0</v>
      </c>
      <c r="K115" s="124">
        <f ca="1">L115-J115</f>
        <v>0</v>
      </c>
      <c r="L115" s="379">
        <f ca="1">IF($A115="S",IF(CAIXA.Modo,BM.AFAcumulado,BM.MEDAcumulado),IF(AND(RegimeExecucao="Global",$I115&gt;0,COUNTIF($AB$13:$AM$13,BM.medicao)&gt;0),O115/$I115*100,0))</f>
        <v>0</v>
      </c>
      <c r="M115" s="380">
        <f ca="1">IF($A115="S",VTOTALBM,IF($A115=0,0,ROUND(SomaAgrupBM,15-13*ORÇAMENTO!$AF$11)))</f>
        <v>0</v>
      </c>
      <c r="N115" s="381">
        <f ca="1">O115-M115</f>
        <v>0</v>
      </c>
      <c r="O115" s="127">
        <f ca="1">IF($A115="S",VTOTALBM,IF($A115=0,0,ROUND(SomaAgrupBM,15-13*ORÇAMENTO!$AF$11)))</f>
        <v>0</v>
      </c>
      <c r="Q115" s="382"/>
      <c r="R115" s="383"/>
      <c r="T115" s="119" t="str">
        <f ca="1">IF($W115&gt;0,$D115,"")</f>
        <v/>
      </c>
      <c r="U115" s="172" t="str">
        <f ca="1">IF($W115&gt;0,$E115,"")</f>
        <v/>
      </c>
      <c r="V115" s="173" t="str">
        <f ca="1">IF(AND($W115&gt;0,RegimeExecucao="Unitário"),$F115,"")</f>
        <v/>
      </c>
      <c r="W115" s="547">
        <f ca="1">IF($Y115&gt;0,CHOOSE(MATCH(RegimeExecucao,{"Unitário","Global"},0),IF($A115="S",$Y115/$X115,""),($Y115/$X115)*100),0)</f>
        <v>0</v>
      </c>
      <c r="X115" s="384" t="str">
        <f ca="1">IF($Y115&gt;0,CHOOSE(MATCH(RegimeExecucao,{"Unitário","Global"},0),IF($A115="S",ROUND($H115,ORÇAMENTO!$AF$10),""),ROUND($I115,ORÇAMENTO!$AF$11)),"")</f>
        <v/>
      </c>
      <c r="Y115" s="384">
        <f ca="1">AO115-O115</f>
        <v>0</v>
      </c>
      <c r="Z115" s="572"/>
      <c r="AB115" s="382"/>
      <c r="AC115" s="516"/>
      <c r="AD115" s="516"/>
      <c r="AE115" s="516"/>
      <c r="AF115" s="516"/>
      <c r="AG115" s="516"/>
      <c r="AH115" s="516"/>
      <c r="AI115" s="516"/>
      <c r="AJ115" s="516"/>
      <c r="AK115" s="516"/>
      <c r="AL115" s="516"/>
      <c r="AM115" s="383"/>
      <c r="AO115">
        <f ca="1">IF($A115="S",IF(BM!$I115=0,0,CHOOSE(MATCH(RegimeExecucao,{"Global","Unitário"},0),ROUND(ROUND(BM.MEDAcumulado,15-13*BM!$A$9)/100*BM!$I115,15-13*ORÇAMENTO!$AF$11),ROUND(ROUND(BM.MEDAcumulado,15-13*BM!$A$9)*ROUND(BM!$H115,15-13*ORÇAMENTO!$AF$10),15-13*ORÇAMENTO!$AF$11))),IF($A115=0,0,ROUND(SomaAgrupBM,15-13*ORÇAMENTO!$AF$11)))</f>
        <v>0</v>
      </c>
    </row>
    <row r="116" spans="1:41" x14ac:dyDescent="0.2">
      <c r="A116">
        <f ca="1">ORÇAMENTO!C116</f>
        <v>1</v>
      </c>
      <c r="B116">
        <f ca="1">ORÇAMENTO!D116</f>
        <v>6</v>
      </c>
      <c r="C116" s="116" t="str">
        <f ca="1">IF(OR($I116&gt;0,$A116=1,$A116=2,$A116=3,$A116=4),"F","")</f>
        <v>F</v>
      </c>
      <c r="D116" s="119" t="str">
        <f ca="1">ORÇAMENTO!O116</f>
        <v>7.</v>
      </c>
      <c r="E116" s="172" t="str">
        <f>ORÇAMENTO.Descricao</f>
        <v xml:space="preserve">PAVIMENTAÇÃO </v>
      </c>
      <c r="F116" s="173" t="str">
        <f ca="1">IF(RegimeExecucao="Global","",ORÇAMENTO.Unidade)</f>
        <v>-</v>
      </c>
      <c r="G116" s="124">
        <f ca="1">IF(RegimeExecucao="Global","",ORÇAMENTO!T116)</f>
        <v>0</v>
      </c>
      <c r="H116" s="124">
        <f ca="1">IF(RegimeExecucao="Global","",ORÇAMENTO!W116)</f>
        <v>0</v>
      </c>
      <c r="I116" s="127">
        <f ca="1">ORÇAMENTO!X116</f>
        <v>37813.360000000001</v>
      </c>
      <c r="J116" s="378">
        <f ca="1">IF($A116="S",IF(CAIXA.Modo,BM.AFAnterior,BM.MEDAnterior),IF(AND(RegimeExecucao="Global",$I116&gt;0,COUNTIF($AB$13:$AM$13,BM.medicao-1)&gt;0),M116/$I116*100,0))</f>
        <v>0</v>
      </c>
      <c r="K116" s="124">
        <f ca="1">L116-J116</f>
        <v>0</v>
      </c>
      <c r="L116" s="379">
        <f ca="1">IF($A116="S",IF(CAIXA.Modo,BM.AFAcumulado,BM.MEDAcumulado),IF(AND(RegimeExecucao="Global",$I116&gt;0,COUNTIF($AB$13:$AM$13,BM.medicao)&gt;0),O116/$I116*100,0))</f>
        <v>0</v>
      </c>
      <c r="M116" s="380">
        <f ca="1">IF($A116="S",VTOTALBM,IF($A116=0,0,ROUND(SomaAgrupBM,15-13*ORÇAMENTO!$AF$11)))</f>
        <v>0</v>
      </c>
      <c r="N116" s="381">
        <f ca="1">O116-M116</f>
        <v>0</v>
      </c>
      <c r="O116" s="127">
        <f ca="1">IF($A116="S",VTOTALBM,IF($A116=0,0,ROUND(SomaAgrupBM,15-13*ORÇAMENTO!$AF$11)))</f>
        <v>0</v>
      </c>
      <c r="Q116" s="382"/>
      <c r="R116" s="383"/>
      <c r="T116" s="119" t="str">
        <f ca="1">IF($W116&gt;0,$D116,"")</f>
        <v/>
      </c>
      <c r="U116" s="172" t="str">
        <f ca="1">IF($W116&gt;0,$E116,"")</f>
        <v/>
      </c>
      <c r="V116" s="173" t="str">
        <f ca="1">IF(AND($W116&gt;0,RegimeExecucao="Unitário"),$F116,"")</f>
        <v/>
      </c>
      <c r="W116" s="547">
        <f ca="1">IF($Y116&gt;0,CHOOSE(MATCH(RegimeExecucao,{"Unitário","Global"},0),IF($A116="S",$Y116/$X116,""),($Y116/$X116)*100),0)</f>
        <v>0</v>
      </c>
      <c r="X116" s="384" t="str">
        <f ca="1">IF($Y116&gt;0,CHOOSE(MATCH(RegimeExecucao,{"Unitário","Global"},0),IF($A116="S",ROUND($H116,ORÇAMENTO!$AF$10),""),ROUND($I116,ORÇAMENTO!$AF$11)),"")</f>
        <v/>
      </c>
      <c r="Y116" s="384">
        <f ca="1">AO116-O116</f>
        <v>0</v>
      </c>
      <c r="Z116" s="572"/>
      <c r="AB116" s="382"/>
      <c r="AC116" s="516"/>
      <c r="AD116" s="516"/>
      <c r="AE116" s="516"/>
      <c r="AF116" s="516"/>
      <c r="AG116" s="516"/>
      <c r="AH116" s="516"/>
      <c r="AI116" s="516"/>
      <c r="AJ116" s="516"/>
      <c r="AK116" s="516"/>
      <c r="AL116" s="516"/>
      <c r="AM116" s="383"/>
      <c r="AO116">
        <f ca="1">IF($A116="S",IF(BM!$I116=0,0,CHOOSE(MATCH(RegimeExecucao,{"Global","Unitário"},0),ROUND(ROUND(BM.MEDAcumulado,15-13*BM!$A$9)/100*BM!$I116,15-13*ORÇAMENTO!$AF$11),ROUND(ROUND(BM.MEDAcumulado,15-13*BM!$A$9)*ROUND(BM!$H116,15-13*ORÇAMENTO!$AF$10),15-13*ORÇAMENTO!$AF$11))),IF($A116=0,0,ROUND(SomaAgrupBM,15-13*ORÇAMENTO!$AF$11)))</f>
        <v>0</v>
      </c>
    </row>
    <row r="117" spans="1:41" x14ac:dyDescent="0.2">
      <c r="A117">
        <f ca="1">ORÇAMENTO!C117</f>
        <v>2</v>
      </c>
      <c r="B117">
        <f ca="1">ORÇAMENTO!D117</f>
        <v>5</v>
      </c>
      <c r="C117" s="116" t="str">
        <f t="shared" ref="C117:C124" ca="1" si="53">IF(OR($I117&gt;0,$A117=1,$A117=2,$A117=3,$A117=4),"F","")</f>
        <v>F</v>
      </c>
      <c r="D117" s="119" t="str">
        <f ca="1">ORÇAMENTO!O117</f>
        <v>7.1.</v>
      </c>
      <c r="E117" s="172" t="str">
        <f t="shared" ref="E117:E124" si="54">ORÇAMENTO.Descricao</f>
        <v>PISO</v>
      </c>
      <c r="F117" s="173" t="str">
        <f ca="1">IF(RegimeExecucao="Global","",ORÇAMENTO.Unidade)</f>
        <v>-</v>
      </c>
      <c r="G117" s="124">
        <f ca="1">IF(RegimeExecucao="Global","",ORÇAMENTO!T117)</f>
        <v>0</v>
      </c>
      <c r="H117" s="124">
        <f ca="1">IF(RegimeExecucao="Global","",ORÇAMENTO!W117)</f>
        <v>0</v>
      </c>
      <c r="I117" s="127">
        <f ca="1">ORÇAMENTO!X117</f>
        <v>37813.360000000001</v>
      </c>
      <c r="J117" s="378">
        <f ca="1">IF($A117="S",IF(CAIXA.Modo,BM.AFAnterior,BM.MEDAnterior),IF(AND(RegimeExecucao="Global",$I117&gt;0,COUNTIF($AB$13:$AM$13,BM.medicao-1)&gt;0),M117/$I117*100,0))</f>
        <v>0</v>
      </c>
      <c r="K117" s="124">
        <f t="shared" ref="K117:K124" ca="1" si="55">L117-J117</f>
        <v>0</v>
      </c>
      <c r="L117" s="379">
        <f ca="1">IF($A117="S",IF(CAIXA.Modo,BM.AFAcumulado,BM.MEDAcumulado),IF(AND(RegimeExecucao="Global",$I117&gt;0,COUNTIF($AB$13:$AM$13,BM.medicao)&gt;0),O117/$I117*100,0))</f>
        <v>0</v>
      </c>
      <c r="M117" s="380">
        <f ca="1">IF($A117="S",VTOTALBM,IF($A117=0,0,ROUND(SomaAgrupBM,15-13*ORÇAMENTO!$AF$11)))</f>
        <v>0</v>
      </c>
      <c r="N117" s="381">
        <f t="shared" ref="N117:N124" ca="1" si="56">O117-M117</f>
        <v>0</v>
      </c>
      <c r="O117" s="127">
        <f ca="1">IF($A117="S",VTOTALBM,IF($A117=0,0,ROUND(SomaAgrupBM,15-13*ORÇAMENTO!$AF$11)))</f>
        <v>0</v>
      </c>
      <c r="Q117" s="382"/>
      <c r="R117" s="383"/>
      <c r="T117" s="119" t="str">
        <f t="shared" ref="T117:T124" ca="1" si="57">IF($W117&gt;0,$D117,"")</f>
        <v/>
      </c>
      <c r="U117" s="172" t="str">
        <f t="shared" ref="U117:U124" ca="1" si="58">IF($W117&gt;0,$E117,"")</f>
        <v/>
      </c>
      <c r="V117" s="173" t="str">
        <f ca="1">IF(AND($W117&gt;0,RegimeExecucao="Unitário"),$F117,"")</f>
        <v/>
      </c>
      <c r="W117" s="547">
        <f ca="1">IF($Y117&gt;0,CHOOSE(MATCH(RegimeExecucao,{"Unitário","Global"},0),IF($A117="S",$Y117/$X117,""),($Y117/$X117)*100),0)</f>
        <v>0</v>
      </c>
      <c r="X117" s="384" t="str">
        <f ca="1">IF($Y117&gt;0,CHOOSE(MATCH(RegimeExecucao,{"Unitário","Global"},0),IF($A117="S",ROUND($H117,ORÇAMENTO!$AF$10),""),ROUND($I117,ORÇAMENTO!$AF$11)),"")</f>
        <v/>
      </c>
      <c r="Y117" s="384">
        <f t="shared" ref="Y117:Y124" ca="1" si="59">AO117-O117</f>
        <v>0</v>
      </c>
      <c r="Z117" s="572"/>
      <c r="AB117" s="382"/>
      <c r="AC117" s="516"/>
      <c r="AD117" s="516"/>
      <c r="AE117" s="516"/>
      <c r="AF117" s="516"/>
      <c r="AG117" s="516"/>
      <c r="AH117" s="516"/>
      <c r="AI117" s="516"/>
      <c r="AJ117" s="516"/>
      <c r="AK117" s="516"/>
      <c r="AL117" s="516"/>
      <c r="AM117" s="383"/>
      <c r="AO117">
        <f ca="1">IF($A117="S",IF(BM!$I117=0,0,CHOOSE(MATCH(RegimeExecucao,{"Global","Unitário"},0),ROUND(ROUND(BM.MEDAcumulado,15-13*BM!$A$9)/100*BM!$I117,15-13*ORÇAMENTO!$AF$11),ROUND(ROUND(BM.MEDAcumulado,15-13*BM!$A$9)*ROUND(BM!$H117,15-13*ORÇAMENTO!$AF$10),15-13*ORÇAMENTO!$AF$11))),IF($A117=0,0,ROUND(SomaAgrupBM,15-13*ORÇAMENTO!$AF$11)))</f>
        <v>0</v>
      </c>
    </row>
    <row r="118" spans="1:41" ht="25.5" x14ac:dyDescent="0.2">
      <c r="A118" t="str">
        <f ca="1">ORÇAMENTO!C118</f>
        <v>S</v>
      </c>
      <c r="B118">
        <f ca="1">ORÇAMENTO!D118</f>
        <v>0</v>
      </c>
      <c r="C118" s="116" t="str">
        <f ca="1">IF(OR($I118&gt;0,$A118=1,$A118=2,$A118=3,$A118=4),"F","")</f>
        <v>F</v>
      </c>
      <c r="D118" s="119" t="str">
        <f ca="1">ORÇAMENTO!O118</f>
        <v>7.1.1.</v>
      </c>
      <c r="E118" s="172" t="str">
        <f ca="1">ORÇAMENTO.Descricao</f>
        <v>ATERRO MECANIZADO DE VALA COM MINICARREGADEIRA, COM SOLO ARGILO-ARENOSO. AF_08/2023</v>
      </c>
      <c r="F118" s="173" t="str">
        <f ca="1">IF(RegimeExecucao="Global","",ORÇAMENTO.Unidade)</f>
        <v>M3</v>
      </c>
      <c r="G118" s="124">
        <f ca="1">IF(RegimeExecucao="Global","",ORÇAMENTO!T118)</f>
        <v>29.3</v>
      </c>
      <c r="H118" s="124">
        <f ca="1">IF(RegimeExecucao="Global","",ORÇAMENTO!W118)</f>
        <v>107.73</v>
      </c>
      <c r="I118" s="127">
        <f ca="1">ORÇAMENTO!X118</f>
        <v>3156.49</v>
      </c>
      <c r="J118" s="378">
        <f ca="1">IF($A118="S",IF(CAIXA.Modo,BM.AFAnterior,BM.MEDAnterior),IF(AND(RegimeExecucao="Global",$I118&gt;0,COUNTIF($AB$13:$AM$13,BM.medicao-1)&gt;0),M118/$I118*100,0))</f>
        <v>0</v>
      </c>
      <c r="K118" s="124">
        <f ca="1">L118-J118</f>
        <v>0</v>
      </c>
      <c r="L118" s="379">
        <f ca="1">IF($A118="S",IF(CAIXA.Modo,BM.AFAcumulado,BM.MEDAcumulado),IF(AND(RegimeExecucao="Global",$I118&gt;0,COUNTIF($AB$13:$AM$13,BM.medicao)&gt;0),O118/$I118*100,0))</f>
        <v>0</v>
      </c>
      <c r="M118" s="380">
        <f ca="1">IF($A118="S",VTOTALBM,IF($A118=0,0,ROUND(SomaAgrupBM,15-13*ORÇAMENTO!$AF$11)))</f>
        <v>0</v>
      </c>
      <c r="N118" s="381">
        <f ca="1">O118-M118</f>
        <v>0</v>
      </c>
      <c r="O118" s="127">
        <f ca="1">IF($A118="S",VTOTALBM,IF($A118=0,0,ROUND(SomaAgrupBM,15-13*ORÇAMENTO!$AF$11)))</f>
        <v>0</v>
      </c>
      <c r="Q118" s="382"/>
      <c r="R118" s="383"/>
      <c r="T118" s="119" t="str">
        <f ca="1">IF($W118&gt;0,$D118,"")</f>
        <v/>
      </c>
      <c r="U118" s="172" t="str">
        <f ca="1">IF($W118&gt;0,$E118,"")</f>
        <v/>
      </c>
      <c r="V118" s="173" t="str">
        <f ca="1">IF(AND($W118&gt;0,RegimeExecucao="Unitário"),$F118,"")</f>
        <v/>
      </c>
      <c r="W118" s="547">
        <f ca="1">IF($Y118&gt;0,CHOOSE(MATCH(RegimeExecucao,{"Unitário","Global"},0),IF($A118="S",$Y118/$X118,""),($Y118/$X118)*100),0)</f>
        <v>0</v>
      </c>
      <c r="X118" s="384" t="str">
        <f ca="1">IF($Y118&gt;0,CHOOSE(MATCH(RegimeExecucao,{"Unitário","Global"},0),IF($A118="S",ROUND($H118,ORÇAMENTO!$AF$10),""),ROUND($I118,ORÇAMENTO!$AF$11)),"")</f>
        <v/>
      </c>
      <c r="Y118" s="384">
        <f ca="1">AO118-O118</f>
        <v>0</v>
      </c>
      <c r="Z118" s="572"/>
      <c r="AB118" s="382"/>
      <c r="AC118" s="516"/>
      <c r="AD118" s="516"/>
      <c r="AE118" s="516"/>
      <c r="AF118" s="516"/>
      <c r="AG118" s="516"/>
      <c r="AH118" s="516"/>
      <c r="AI118" s="516"/>
      <c r="AJ118" s="516"/>
      <c r="AK118" s="516"/>
      <c r="AL118" s="516"/>
      <c r="AM118" s="383"/>
      <c r="AO118">
        <f ca="1">IF($A118="S",IF(BM!$I118=0,0,CHOOSE(MATCH(RegimeExecucao,{"Global","Unitário"},0),ROUND(ROUND(BM.MEDAcumulado,15-13*BM!$A$9)/100*BM!$I118,15-13*ORÇAMENTO!$AF$11),ROUND(ROUND(BM.MEDAcumulado,15-13*BM!$A$9)*ROUND(BM!$H118,15-13*ORÇAMENTO!$AF$10),15-13*ORÇAMENTO!$AF$11))),IF($A118=0,0,ROUND(SomaAgrupBM,15-13*ORÇAMENTO!$AF$11)))</f>
        <v>0</v>
      </c>
    </row>
    <row r="119" spans="1:41" ht="25.5" x14ac:dyDescent="0.2">
      <c r="A119" t="str">
        <f ca="1">ORÇAMENTO!C119</f>
        <v>S</v>
      </c>
      <c r="B119">
        <f ca="1">ORÇAMENTO!D119</f>
        <v>0</v>
      </c>
      <c r="C119" s="116" t="str">
        <f t="shared" ca="1" si="53"/>
        <v>F</v>
      </c>
      <c r="D119" s="119" t="str">
        <f ca="1">ORÇAMENTO!O119</f>
        <v>7.1.2.</v>
      </c>
      <c r="E119" s="172" t="str">
        <f t="shared" ca="1" si="54"/>
        <v>PISO INTERNO 6 CM  - INCLUSO LASTRO DE BRITA E CONCRETAGEM ESPESSURA</v>
      </c>
      <c r="F119" s="173" t="str">
        <f ca="1">IF(RegimeExecucao="Global","",ORÇAMENTO.Unidade)</f>
        <v>M2</v>
      </c>
      <c r="G119" s="124">
        <f ca="1">IF(RegimeExecucao="Global","",ORÇAMENTO!T119)</f>
        <v>71.010000000000005</v>
      </c>
      <c r="H119" s="124">
        <f ca="1">IF(RegimeExecucao="Global","",ORÇAMENTO!W119)</f>
        <v>84.87</v>
      </c>
      <c r="I119" s="127">
        <f ca="1">ORÇAMENTO!X119</f>
        <v>6026.62</v>
      </c>
      <c r="J119" s="378">
        <f ca="1">IF($A119="S",IF(CAIXA.Modo,BM.AFAnterior,BM.MEDAnterior),IF(AND(RegimeExecucao="Global",$I119&gt;0,COUNTIF($AB$13:$AM$13,BM.medicao-1)&gt;0),M119/$I119*100,0))</f>
        <v>0</v>
      </c>
      <c r="K119" s="124">
        <f t="shared" ca="1" si="55"/>
        <v>0</v>
      </c>
      <c r="L119" s="379">
        <f ca="1">IF($A119="S",IF(CAIXA.Modo,BM.AFAcumulado,BM.MEDAcumulado),IF(AND(RegimeExecucao="Global",$I119&gt;0,COUNTIF($AB$13:$AM$13,BM.medicao)&gt;0),O119/$I119*100,0))</f>
        <v>0</v>
      </c>
      <c r="M119" s="380">
        <f ca="1">IF($A119="S",VTOTALBM,IF($A119=0,0,ROUND(SomaAgrupBM,15-13*ORÇAMENTO!$AF$11)))</f>
        <v>0</v>
      </c>
      <c r="N119" s="381">
        <f t="shared" ca="1" si="56"/>
        <v>0</v>
      </c>
      <c r="O119" s="127">
        <f ca="1">IF($A119="S",VTOTALBM,IF($A119=0,0,ROUND(SomaAgrupBM,15-13*ORÇAMENTO!$AF$11)))</f>
        <v>0</v>
      </c>
      <c r="Q119" s="382"/>
      <c r="R119" s="383"/>
      <c r="T119" s="119" t="str">
        <f t="shared" ca="1" si="57"/>
        <v/>
      </c>
      <c r="U119" s="172" t="str">
        <f t="shared" ca="1" si="58"/>
        <v/>
      </c>
      <c r="V119" s="173" t="str">
        <f ca="1">IF(AND($W119&gt;0,RegimeExecucao="Unitário"),$F119,"")</f>
        <v/>
      </c>
      <c r="W119" s="547">
        <f ca="1">IF($Y119&gt;0,CHOOSE(MATCH(RegimeExecucao,{"Unitário","Global"},0),IF($A119="S",$Y119/$X119,""),($Y119/$X119)*100),0)</f>
        <v>0</v>
      </c>
      <c r="X119" s="384" t="str">
        <f ca="1">IF($Y119&gt;0,CHOOSE(MATCH(RegimeExecucao,{"Unitário","Global"},0),IF($A119="S",ROUND($H119,ORÇAMENTO!$AF$10),""),ROUND($I119,ORÇAMENTO!$AF$11)),"")</f>
        <v/>
      </c>
      <c r="Y119" s="384">
        <f t="shared" ca="1" si="59"/>
        <v>0</v>
      </c>
      <c r="Z119" s="572"/>
      <c r="AB119" s="382"/>
      <c r="AC119" s="516"/>
      <c r="AD119" s="516"/>
      <c r="AE119" s="516"/>
      <c r="AF119" s="516"/>
      <c r="AG119" s="516"/>
      <c r="AH119" s="516"/>
      <c r="AI119" s="516"/>
      <c r="AJ119" s="516"/>
      <c r="AK119" s="516"/>
      <c r="AL119" s="516"/>
      <c r="AM119" s="383"/>
      <c r="AO119">
        <f ca="1">IF($A119="S",IF(BM!$I119=0,0,CHOOSE(MATCH(RegimeExecucao,{"Global","Unitário"},0),ROUND(ROUND(BM.MEDAcumulado,15-13*BM!$A$9)/100*BM!$I119,15-13*ORÇAMENTO!$AF$11),ROUND(ROUND(BM.MEDAcumulado,15-13*BM!$A$9)*ROUND(BM!$H119,15-13*ORÇAMENTO!$AF$10),15-13*ORÇAMENTO!$AF$11))),IF($A119=0,0,ROUND(SomaAgrupBM,15-13*ORÇAMENTO!$AF$11)))</f>
        <v>0</v>
      </c>
    </row>
    <row r="120" spans="1:41" ht="38.25" x14ac:dyDescent="0.2">
      <c r="A120" t="str">
        <f ca="1">ORÇAMENTO!C120</f>
        <v>S</v>
      </c>
      <c r="B120">
        <f ca="1">ORÇAMENTO!D120</f>
        <v>0</v>
      </c>
      <c r="C120" s="116" t="str">
        <f t="shared" ca="1" si="53"/>
        <v>F</v>
      </c>
      <c r="D120" s="119" t="str">
        <f ca="1">ORÇAMENTO!O120</f>
        <v>7.1.3.</v>
      </c>
      <c r="E120" s="172" t="str">
        <f t="shared" ca="1" si="54"/>
        <v>PISO EXTERNO 8 CM - COM LASTRO DE MATERIAL GRANULAR, TELA DE AÇO SOLDADA, CONCRETAGEM, POLIMENTO E JUNTA DE DILATAÇÃO</v>
      </c>
      <c r="F120" s="173" t="str">
        <f ca="1">IF(RegimeExecucao="Global","",ORÇAMENTO.Unidade)</f>
        <v>M2</v>
      </c>
      <c r="G120" s="124">
        <f ca="1">IF(RegimeExecucao="Global","",ORÇAMENTO!T120)</f>
        <v>122.82</v>
      </c>
      <c r="H120" s="124">
        <f ca="1">IF(RegimeExecucao="Global","",ORÇAMENTO!W120)</f>
        <v>196.66</v>
      </c>
      <c r="I120" s="127">
        <f ca="1">ORÇAMENTO!X120</f>
        <v>24153.78</v>
      </c>
      <c r="J120" s="378">
        <f ca="1">IF($A120="S",IF(CAIXA.Modo,BM.AFAnterior,BM.MEDAnterior),IF(AND(RegimeExecucao="Global",$I120&gt;0,COUNTIF($AB$13:$AM$13,BM.medicao-1)&gt;0),M120/$I120*100,0))</f>
        <v>0</v>
      </c>
      <c r="K120" s="124">
        <f t="shared" ca="1" si="55"/>
        <v>0</v>
      </c>
      <c r="L120" s="379">
        <f ca="1">IF($A120="S",IF(CAIXA.Modo,BM.AFAcumulado,BM.MEDAcumulado),IF(AND(RegimeExecucao="Global",$I120&gt;0,COUNTIF($AB$13:$AM$13,BM.medicao)&gt;0),O120/$I120*100,0))</f>
        <v>0</v>
      </c>
      <c r="M120" s="380">
        <f ca="1">IF($A120="S",VTOTALBM,IF($A120=0,0,ROUND(SomaAgrupBM,15-13*ORÇAMENTO!$AF$11)))</f>
        <v>0</v>
      </c>
      <c r="N120" s="381">
        <f t="shared" ca="1" si="56"/>
        <v>0</v>
      </c>
      <c r="O120" s="127">
        <f ca="1">IF($A120="S",VTOTALBM,IF($A120=0,0,ROUND(SomaAgrupBM,15-13*ORÇAMENTO!$AF$11)))</f>
        <v>0</v>
      </c>
      <c r="Q120" s="382"/>
      <c r="R120" s="383"/>
      <c r="T120" s="119" t="str">
        <f t="shared" ca="1" si="57"/>
        <v/>
      </c>
      <c r="U120" s="172" t="str">
        <f t="shared" ca="1" si="58"/>
        <v/>
      </c>
      <c r="V120" s="173" t="str">
        <f ca="1">IF(AND($W120&gt;0,RegimeExecucao="Unitário"),$F120,"")</f>
        <v/>
      </c>
      <c r="W120" s="547">
        <f ca="1">IF($Y120&gt;0,CHOOSE(MATCH(RegimeExecucao,{"Unitário","Global"},0),IF($A120="S",$Y120/$X120,""),($Y120/$X120)*100),0)</f>
        <v>0</v>
      </c>
      <c r="X120" s="384" t="str">
        <f ca="1">IF($Y120&gt;0,CHOOSE(MATCH(RegimeExecucao,{"Unitário","Global"},0),IF($A120="S",ROUND($H120,ORÇAMENTO!$AF$10),""),ROUND($I120,ORÇAMENTO!$AF$11)),"")</f>
        <v/>
      </c>
      <c r="Y120" s="384">
        <f t="shared" ca="1" si="59"/>
        <v>0</v>
      </c>
      <c r="Z120" s="572"/>
      <c r="AB120" s="382"/>
      <c r="AC120" s="516"/>
      <c r="AD120" s="516"/>
      <c r="AE120" s="516"/>
      <c r="AF120" s="516"/>
      <c r="AG120" s="516"/>
      <c r="AH120" s="516"/>
      <c r="AI120" s="516"/>
      <c r="AJ120" s="516"/>
      <c r="AK120" s="516"/>
      <c r="AL120" s="516"/>
      <c r="AM120" s="383"/>
      <c r="AO120">
        <f ca="1">IF($A120="S",IF(BM!$I120=0,0,CHOOSE(MATCH(RegimeExecucao,{"Global","Unitário"},0),ROUND(ROUND(BM.MEDAcumulado,15-13*BM!$A$9)/100*BM!$I120,15-13*ORÇAMENTO!$AF$11),ROUND(ROUND(BM.MEDAcumulado,15-13*BM!$A$9)*ROUND(BM!$H120,15-13*ORÇAMENTO!$AF$10),15-13*ORÇAMENTO!$AF$11))),IF($A120=0,0,ROUND(SomaAgrupBM,15-13*ORÇAMENTO!$AF$11)))</f>
        <v>0</v>
      </c>
    </row>
    <row r="121" spans="1:41" ht="38.25" x14ac:dyDescent="0.2">
      <c r="A121" t="str">
        <f ca="1">ORÇAMENTO!C121</f>
        <v>S</v>
      </c>
      <c r="B121">
        <f ca="1">ORÇAMENTO!D121</f>
        <v>0</v>
      </c>
      <c r="C121" s="116" t="str">
        <f t="shared" ca="1" si="53"/>
        <v>F</v>
      </c>
      <c r="D121" s="119" t="str">
        <f ca="1">ORÇAMENTO!O121</f>
        <v>7.1.4.</v>
      </c>
      <c r="E121" s="172" t="str">
        <f t="shared" ca="1" si="54"/>
        <v>REVESTIMENTO CERÂMICO PARA PISO COM PLACAS TIPO ESMALTADA DE DIMENSÕES 35X35 CM APLICADA EM AMBIENTES DE ÁREA MAIOR QUE 10 M2. AF_02/2023_PE</v>
      </c>
      <c r="F121" s="173" t="str">
        <f ca="1">IF(RegimeExecucao="Global","",ORÇAMENTO.Unidade)</f>
        <v>M2</v>
      </c>
      <c r="G121" s="124">
        <f ca="1">IF(RegimeExecucao="Global","",ORÇAMENTO!T121)</f>
        <v>71.010000000000005</v>
      </c>
      <c r="H121" s="124">
        <f ca="1">IF(RegimeExecucao="Global","",ORÇAMENTO!W121)</f>
        <v>63.04</v>
      </c>
      <c r="I121" s="127">
        <f ca="1">ORÇAMENTO!X121</f>
        <v>4476.47</v>
      </c>
      <c r="J121" s="378">
        <f ca="1">IF($A121="S",IF(CAIXA.Modo,BM.AFAnterior,BM.MEDAnterior),IF(AND(RegimeExecucao="Global",$I121&gt;0,COUNTIF($AB$13:$AM$13,BM.medicao-1)&gt;0),M121/$I121*100,0))</f>
        <v>0</v>
      </c>
      <c r="K121" s="124">
        <f t="shared" ca="1" si="55"/>
        <v>0</v>
      </c>
      <c r="L121" s="379">
        <f ca="1">IF($A121="S",IF(CAIXA.Modo,BM.AFAcumulado,BM.MEDAcumulado),IF(AND(RegimeExecucao="Global",$I121&gt;0,COUNTIF($AB$13:$AM$13,BM.medicao)&gt;0),O121/$I121*100,0))</f>
        <v>0</v>
      </c>
      <c r="M121" s="380">
        <f ca="1">IF($A121="S",VTOTALBM,IF($A121=0,0,ROUND(SomaAgrupBM,15-13*ORÇAMENTO!$AF$11)))</f>
        <v>0</v>
      </c>
      <c r="N121" s="381">
        <f t="shared" ca="1" si="56"/>
        <v>0</v>
      </c>
      <c r="O121" s="127">
        <f ca="1">IF($A121="S",VTOTALBM,IF($A121=0,0,ROUND(SomaAgrupBM,15-13*ORÇAMENTO!$AF$11)))</f>
        <v>0</v>
      </c>
      <c r="Q121" s="382"/>
      <c r="R121" s="383"/>
      <c r="T121" s="119" t="str">
        <f t="shared" ca="1" si="57"/>
        <v/>
      </c>
      <c r="U121" s="172" t="str">
        <f t="shared" ca="1" si="58"/>
        <v/>
      </c>
      <c r="V121" s="173" t="str">
        <f ca="1">IF(AND($W121&gt;0,RegimeExecucao="Unitário"),$F121,"")</f>
        <v/>
      </c>
      <c r="W121" s="547">
        <f ca="1">IF($Y121&gt;0,CHOOSE(MATCH(RegimeExecucao,{"Unitário","Global"},0),IF($A121="S",$Y121/$X121,""),($Y121/$X121)*100),0)</f>
        <v>0</v>
      </c>
      <c r="X121" s="384" t="str">
        <f ca="1">IF($Y121&gt;0,CHOOSE(MATCH(RegimeExecucao,{"Unitário","Global"},0),IF($A121="S",ROUND($H121,ORÇAMENTO!$AF$10),""),ROUND($I121,ORÇAMENTO!$AF$11)),"")</f>
        <v/>
      </c>
      <c r="Y121" s="384">
        <f t="shared" ca="1" si="59"/>
        <v>0</v>
      </c>
      <c r="Z121" s="572"/>
      <c r="AB121" s="382"/>
      <c r="AC121" s="516"/>
      <c r="AD121" s="516"/>
      <c r="AE121" s="516"/>
      <c r="AF121" s="516"/>
      <c r="AG121" s="516"/>
      <c r="AH121" s="516"/>
      <c r="AI121" s="516"/>
      <c r="AJ121" s="516"/>
      <c r="AK121" s="516"/>
      <c r="AL121" s="516"/>
      <c r="AM121" s="383"/>
      <c r="AO121">
        <f ca="1">IF($A121="S",IF(BM!$I121=0,0,CHOOSE(MATCH(RegimeExecucao,{"Global","Unitário"},0),ROUND(ROUND(BM.MEDAcumulado,15-13*BM!$A$9)/100*BM!$I121,15-13*ORÇAMENTO!$AF$11),ROUND(ROUND(BM.MEDAcumulado,15-13*BM!$A$9)*ROUND(BM!$H121,15-13*ORÇAMENTO!$AF$10),15-13*ORÇAMENTO!$AF$11))),IF($A121=0,0,ROUND(SomaAgrupBM,15-13*ORÇAMENTO!$AF$11)))</f>
        <v>0</v>
      </c>
    </row>
    <row r="122" spans="1:41" x14ac:dyDescent="0.2">
      <c r="A122">
        <f ca="1">ORÇAMENTO!C122</f>
        <v>1</v>
      </c>
      <c r="B122">
        <f ca="1">ORÇAMENTO!D122</f>
        <v>23</v>
      </c>
      <c r="C122" s="116" t="str">
        <f ca="1">IF(OR($I122&gt;0,$A122=1,$A122=2,$A122=3,$A122=4),"F","")</f>
        <v>F</v>
      </c>
      <c r="D122" s="119" t="str">
        <f ca="1">ORÇAMENTO!O122</f>
        <v>8.</v>
      </c>
      <c r="E122" s="172" t="str">
        <f>ORÇAMENTO.Descricao</f>
        <v xml:space="preserve">ACABAMENTOS </v>
      </c>
      <c r="F122" s="173" t="str">
        <f ca="1">IF(RegimeExecucao="Global","",ORÇAMENTO.Unidade)</f>
        <v>-</v>
      </c>
      <c r="G122" s="124">
        <f ca="1">IF(RegimeExecucao="Global","",ORÇAMENTO!T122)</f>
        <v>0</v>
      </c>
      <c r="H122" s="124">
        <f ca="1">IF(RegimeExecucao="Global","",ORÇAMENTO!W122)</f>
        <v>0</v>
      </c>
      <c r="I122" s="127">
        <f ca="1">ORÇAMENTO!X122</f>
        <v>32814.04</v>
      </c>
      <c r="J122" s="378">
        <f ca="1">IF($A122="S",IF(CAIXA.Modo,BM.AFAnterior,BM.MEDAnterior),IF(AND(RegimeExecucao="Global",$I122&gt;0,COUNTIF($AB$13:$AM$13,BM.medicao-1)&gt;0),M122/$I122*100,0))</f>
        <v>0</v>
      </c>
      <c r="K122" s="124">
        <f ca="1">L122-J122</f>
        <v>0</v>
      </c>
      <c r="L122" s="379">
        <f ca="1">IF($A122="S",IF(CAIXA.Modo,BM.AFAcumulado,BM.MEDAcumulado),IF(AND(RegimeExecucao="Global",$I122&gt;0,COUNTIF($AB$13:$AM$13,BM.medicao)&gt;0),O122/$I122*100,0))</f>
        <v>0</v>
      </c>
      <c r="M122" s="380">
        <f ca="1">IF($A122="S",VTOTALBM,IF($A122=0,0,ROUND(SomaAgrupBM,15-13*ORÇAMENTO!$AF$11)))</f>
        <v>0</v>
      </c>
      <c r="N122" s="381">
        <f ca="1">O122-M122</f>
        <v>0</v>
      </c>
      <c r="O122" s="127">
        <f ca="1">IF($A122="S",VTOTALBM,IF($A122=0,0,ROUND(SomaAgrupBM,15-13*ORÇAMENTO!$AF$11)))</f>
        <v>0</v>
      </c>
      <c r="Q122" s="382"/>
      <c r="R122" s="383"/>
      <c r="T122" s="119" t="str">
        <f ca="1">IF($W122&gt;0,$D122,"")</f>
        <v/>
      </c>
      <c r="U122" s="172" t="str">
        <f ca="1">IF($W122&gt;0,$E122,"")</f>
        <v/>
      </c>
      <c r="V122" s="173" t="str">
        <f ca="1">IF(AND($W122&gt;0,RegimeExecucao="Unitário"),$F122,"")</f>
        <v/>
      </c>
      <c r="W122" s="547">
        <f ca="1">IF($Y122&gt;0,CHOOSE(MATCH(RegimeExecucao,{"Unitário","Global"},0),IF($A122="S",$Y122/$X122,""),($Y122/$X122)*100),0)</f>
        <v>0</v>
      </c>
      <c r="X122" s="384" t="str">
        <f ca="1">IF($Y122&gt;0,CHOOSE(MATCH(RegimeExecucao,{"Unitário","Global"},0),IF($A122="S",ROUND($H122,ORÇAMENTO!$AF$10),""),ROUND($I122,ORÇAMENTO!$AF$11)),"")</f>
        <v/>
      </c>
      <c r="Y122" s="384">
        <f ca="1">AO122-O122</f>
        <v>0</v>
      </c>
      <c r="Z122" s="572"/>
      <c r="AB122" s="382"/>
      <c r="AC122" s="516"/>
      <c r="AD122" s="516"/>
      <c r="AE122" s="516"/>
      <c r="AF122" s="516"/>
      <c r="AG122" s="516"/>
      <c r="AH122" s="516"/>
      <c r="AI122" s="516"/>
      <c r="AJ122" s="516"/>
      <c r="AK122" s="516"/>
      <c r="AL122" s="516"/>
      <c r="AM122" s="383"/>
      <c r="AO122">
        <f ca="1">IF($A122="S",IF(BM!$I122=0,0,CHOOSE(MATCH(RegimeExecucao,{"Global","Unitário"},0),ROUND(ROUND(BM.MEDAcumulado,15-13*BM!$A$9)/100*BM!$I122,15-13*ORÇAMENTO!$AF$11),ROUND(ROUND(BM.MEDAcumulado,15-13*BM!$A$9)*ROUND(BM!$H122,15-13*ORÇAMENTO!$AF$10),15-13*ORÇAMENTO!$AF$11))),IF($A122=0,0,ROUND(SomaAgrupBM,15-13*ORÇAMENTO!$AF$11)))</f>
        <v>0</v>
      </c>
    </row>
    <row r="123" spans="1:41" x14ac:dyDescent="0.2">
      <c r="A123">
        <f ca="1">ORÇAMENTO!C123</f>
        <v>2</v>
      </c>
      <c r="B123">
        <f ca="1">ORÇAMENTO!D123</f>
        <v>4</v>
      </c>
      <c r="C123" s="116" t="str">
        <f t="shared" ca="1" si="53"/>
        <v>F</v>
      </c>
      <c r="D123" s="119" t="str">
        <f ca="1">ORÇAMENTO!O123</f>
        <v>8.1.</v>
      </c>
      <c r="E123" s="172" t="str">
        <f t="shared" si="54"/>
        <v xml:space="preserve">PINTURA </v>
      </c>
      <c r="F123" s="173" t="str">
        <f ca="1">IF(RegimeExecucao="Global","",ORÇAMENTO.Unidade)</f>
        <v>-</v>
      </c>
      <c r="G123" s="124">
        <f ca="1">IF(RegimeExecucao="Global","",ORÇAMENTO!T123)</f>
        <v>0</v>
      </c>
      <c r="H123" s="124">
        <f ca="1">IF(RegimeExecucao="Global","",ORÇAMENTO!W123)</f>
        <v>0</v>
      </c>
      <c r="I123" s="127">
        <f ca="1">ORÇAMENTO!X123</f>
        <v>6632.6</v>
      </c>
      <c r="J123" s="378">
        <f ca="1">IF($A123="S",IF(CAIXA.Modo,BM.AFAnterior,BM.MEDAnterior),IF(AND(RegimeExecucao="Global",$I123&gt;0,COUNTIF($AB$13:$AM$13,BM.medicao-1)&gt;0),M123/$I123*100,0))</f>
        <v>0</v>
      </c>
      <c r="K123" s="124">
        <f t="shared" ca="1" si="55"/>
        <v>0</v>
      </c>
      <c r="L123" s="379">
        <f ca="1">IF($A123="S",IF(CAIXA.Modo,BM.AFAcumulado,BM.MEDAcumulado),IF(AND(RegimeExecucao="Global",$I123&gt;0,COUNTIF($AB$13:$AM$13,BM.medicao)&gt;0),O123/$I123*100,0))</f>
        <v>0</v>
      </c>
      <c r="M123" s="380">
        <f ca="1">IF($A123="S",VTOTALBM,IF($A123=0,0,ROUND(SomaAgrupBM,15-13*ORÇAMENTO!$AF$11)))</f>
        <v>0</v>
      </c>
      <c r="N123" s="381">
        <f t="shared" ca="1" si="56"/>
        <v>0</v>
      </c>
      <c r="O123" s="127">
        <f ca="1">IF($A123="S",VTOTALBM,IF($A123=0,0,ROUND(SomaAgrupBM,15-13*ORÇAMENTO!$AF$11)))</f>
        <v>0</v>
      </c>
      <c r="Q123" s="382"/>
      <c r="R123" s="383"/>
      <c r="T123" s="119" t="str">
        <f t="shared" ca="1" si="57"/>
        <v/>
      </c>
      <c r="U123" s="172" t="str">
        <f t="shared" ca="1" si="58"/>
        <v/>
      </c>
      <c r="V123" s="173" t="str">
        <f ca="1">IF(AND($W123&gt;0,RegimeExecucao="Unitário"),$F123,"")</f>
        <v/>
      </c>
      <c r="W123" s="547">
        <f ca="1">IF($Y123&gt;0,CHOOSE(MATCH(RegimeExecucao,{"Unitário","Global"},0),IF($A123="S",$Y123/$X123,""),($Y123/$X123)*100),0)</f>
        <v>0</v>
      </c>
      <c r="X123" s="384" t="str">
        <f ca="1">IF($Y123&gt;0,CHOOSE(MATCH(RegimeExecucao,{"Unitário","Global"},0),IF($A123="S",ROUND($H123,ORÇAMENTO!$AF$10),""),ROUND($I123,ORÇAMENTO!$AF$11)),"")</f>
        <v/>
      </c>
      <c r="Y123" s="384">
        <f t="shared" ca="1" si="59"/>
        <v>0</v>
      </c>
      <c r="Z123" s="572"/>
      <c r="AB123" s="382"/>
      <c r="AC123" s="516"/>
      <c r="AD123" s="516"/>
      <c r="AE123" s="516"/>
      <c r="AF123" s="516"/>
      <c r="AG123" s="516"/>
      <c r="AH123" s="516"/>
      <c r="AI123" s="516"/>
      <c r="AJ123" s="516"/>
      <c r="AK123" s="516"/>
      <c r="AL123" s="516"/>
      <c r="AM123" s="383"/>
      <c r="AO123">
        <f ca="1">IF($A123="S",IF(BM!$I123=0,0,CHOOSE(MATCH(RegimeExecucao,{"Global","Unitário"},0),ROUND(ROUND(BM.MEDAcumulado,15-13*BM!$A$9)/100*BM!$I123,15-13*ORÇAMENTO!$AF$11),ROUND(ROUND(BM.MEDAcumulado,15-13*BM!$A$9)*ROUND(BM!$H123,15-13*ORÇAMENTO!$AF$10),15-13*ORÇAMENTO!$AF$11))),IF($A123=0,0,ROUND(SomaAgrupBM,15-13*ORÇAMENTO!$AF$11)))</f>
        <v>0</v>
      </c>
    </row>
    <row r="124" spans="1:41" ht="25.5" x14ac:dyDescent="0.2">
      <c r="A124" t="str">
        <f ca="1">ORÇAMENTO!C124</f>
        <v>S</v>
      </c>
      <c r="B124">
        <f ca="1">ORÇAMENTO!D124</f>
        <v>0</v>
      </c>
      <c r="C124" s="116" t="str">
        <f t="shared" ca="1" si="53"/>
        <v>F</v>
      </c>
      <c r="D124" s="119" t="str">
        <f ca="1">ORÇAMENTO!O124</f>
        <v>8.1.1.</v>
      </c>
      <c r="E124" s="172" t="str">
        <f t="shared" ca="1" si="54"/>
        <v>FUNDO SELADOR ACRÍLICO, APLICAÇÃO MANUAL EM PAREDE, UMA DEMÃO. AF_04/2023</v>
      </c>
      <c r="F124" s="173" t="str">
        <f ca="1">IF(RegimeExecucao="Global","",ORÇAMENTO.Unidade)</f>
        <v>M2</v>
      </c>
      <c r="G124" s="124">
        <f ca="1">IF(RegimeExecucao="Global","",ORÇAMENTO!T124)</f>
        <v>160.44</v>
      </c>
      <c r="H124" s="124">
        <f ca="1">IF(RegimeExecucao="Global","",ORÇAMENTO!W124)</f>
        <v>5.43</v>
      </c>
      <c r="I124" s="127">
        <f ca="1">ORÇAMENTO!X124</f>
        <v>871.19</v>
      </c>
      <c r="J124" s="378">
        <f ca="1">IF($A124="S",IF(CAIXA.Modo,BM.AFAnterior,BM.MEDAnterior),IF(AND(RegimeExecucao="Global",$I124&gt;0,COUNTIF($AB$13:$AM$13,BM.medicao-1)&gt;0),M124/$I124*100,0))</f>
        <v>0</v>
      </c>
      <c r="K124" s="124">
        <f t="shared" ca="1" si="55"/>
        <v>0</v>
      </c>
      <c r="L124" s="379">
        <f ca="1">IF($A124="S",IF(CAIXA.Modo,BM.AFAcumulado,BM.MEDAcumulado),IF(AND(RegimeExecucao="Global",$I124&gt;0,COUNTIF($AB$13:$AM$13,BM.medicao)&gt;0),O124/$I124*100,0))</f>
        <v>0</v>
      </c>
      <c r="M124" s="380">
        <f ca="1">IF($A124="S",VTOTALBM,IF($A124=0,0,ROUND(SomaAgrupBM,15-13*ORÇAMENTO!$AF$11)))</f>
        <v>0</v>
      </c>
      <c r="N124" s="381">
        <f t="shared" ca="1" si="56"/>
        <v>0</v>
      </c>
      <c r="O124" s="127">
        <f ca="1">IF($A124="S",VTOTALBM,IF($A124=0,0,ROUND(SomaAgrupBM,15-13*ORÇAMENTO!$AF$11)))</f>
        <v>0</v>
      </c>
      <c r="Q124" s="382"/>
      <c r="R124" s="383"/>
      <c r="T124" s="119" t="str">
        <f t="shared" ca="1" si="57"/>
        <v/>
      </c>
      <c r="U124" s="172" t="str">
        <f t="shared" ca="1" si="58"/>
        <v/>
      </c>
      <c r="V124" s="173" t="str">
        <f ca="1">IF(AND($W124&gt;0,RegimeExecucao="Unitário"),$F124,"")</f>
        <v/>
      </c>
      <c r="W124" s="547">
        <f ca="1">IF($Y124&gt;0,CHOOSE(MATCH(RegimeExecucao,{"Unitário","Global"},0),IF($A124="S",$Y124/$X124,""),($Y124/$X124)*100),0)</f>
        <v>0</v>
      </c>
      <c r="X124" s="384" t="str">
        <f ca="1">IF($Y124&gt;0,CHOOSE(MATCH(RegimeExecucao,{"Unitário","Global"},0),IF($A124="S",ROUND($H124,ORÇAMENTO!$AF$10),""),ROUND($I124,ORÇAMENTO!$AF$11)),"")</f>
        <v/>
      </c>
      <c r="Y124" s="384">
        <f t="shared" ca="1" si="59"/>
        <v>0</v>
      </c>
      <c r="Z124" s="572"/>
      <c r="AB124" s="382"/>
      <c r="AC124" s="516"/>
      <c r="AD124" s="516"/>
      <c r="AE124" s="516"/>
      <c r="AF124" s="516"/>
      <c r="AG124" s="516"/>
      <c r="AH124" s="516"/>
      <c r="AI124" s="516"/>
      <c r="AJ124" s="516"/>
      <c r="AK124" s="516"/>
      <c r="AL124" s="516"/>
      <c r="AM124" s="383"/>
      <c r="AO124">
        <f ca="1">IF($A124="S",IF(BM!$I124=0,0,CHOOSE(MATCH(RegimeExecucao,{"Global","Unitário"},0),ROUND(ROUND(BM.MEDAcumulado,15-13*BM!$A$9)/100*BM!$I124,15-13*ORÇAMENTO!$AF$11),ROUND(ROUND(BM.MEDAcumulado,15-13*BM!$A$9)*ROUND(BM!$H124,15-13*ORÇAMENTO!$AF$10),15-13*ORÇAMENTO!$AF$11))),IF($A124=0,0,ROUND(SomaAgrupBM,15-13*ORÇAMENTO!$AF$11)))</f>
        <v>0</v>
      </c>
    </row>
    <row r="125" spans="1:41" ht="25.5" x14ac:dyDescent="0.2">
      <c r="A125" t="str">
        <f ca="1">ORÇAMENTO!C125</f>
        <v>S</v>
      </c>
      <c r="B125">
        <f ca="1">ORÇAMENTO!D125</f>
        <v>0</v>
      </c>
      <c r="C125" s="116" t="str">
        <f ca="1">IF(OR($I125&gt;0,$A125=1,$A125=2,$A125=3,$A125=4),"F","")</f>
        <v>F</v>
      </c>
      <c r="D125" s="119" t="str">
        <f ca="1">ORÇAMENTO!O125</f>
        <v>8.1.2.</v>
      </c>
      <c r="E125" s="172" t="str">
        <f t="shared" ref="E125:E164" ca="1" si="60">ORÇAMENTO.Descricao</f>
        <v>TEXTURA ACRÍLICA, APLICAÇÃO MANUAL EM PAREDE, UMA DEMÃO. AF_04/2023</v>
      </c>
      <c r="F125" s="173" t="str">
        <f ca="1">IF(RegimeExecucao="Global","",ORÇAMENTO.Unidade)</f>
        <v>M2</v>
      </c>
      <c r="G125" s="124">
        <f ca="1">IF(RegimeExecucao="Global","",ORÇAMENTO!T125)</f>
        <v>160.44</v>
      </c>
      <c r="H125" s="124">
        <f ca="1">IF(RegimeExecucao="Global","",ORÇAMENTO!W125)</f>
        <v>18.329999999999998</v>
      </c>
      <c r="I125" s="127">
        <f ca="1">ORÇAMENTO!X125</f>
        <v>2940.87</v>
      </c>
      <c r="J125" s="378">
        <f ca="1">IF($A125="S",IF(CAIXA.Modo,BM.AFAnterior,BM.MEDAnterior),IF(AND(RegimeExecucao="Global",$I125&gt;0,COUNTIF($AB$13:$AM$13,BM.medicao-1)&gt;0),M125/$I125*100,0))</f>
        <v>0</v>
      </c>
      <c r="K125" s="124">
        <f ca="1">L125-J125</f>
        <v>0</v>
      </c>
      <c r="L125" s="379">
        <f ca="1">IF($A125="S",IF(CAIXA.Modo,BM.AFAcumulado,BM.MEDAcumulado),IF(AND(RegimeExecucao="Global",$I125&gt;0,COUNTIF($AB$13:$AM$13,BM.medicao)&gt;0),O125/$I125*100,0))</f>
        <v>0</v>
      </c>
      <c r="M125" s="380">
        <f ca="1">IF($A125="S",VTOTALBM,IF($A125=0,0,ROUND(SomaAgrupBM,15-13*ORÇAMENTO!$AF$11)))</f>
        <v>0</v>
      </c>
      <c r="N125" s="381">
        <f ca="1">O125-M125</f>
        <v>0</v>
      </c>
      <c r="O125" s="127">
        <f ca="1">IF($A125="S",VTOTALBM,IF($A125=0,0,ROUND(SomaAgrupBM,15-13*ORÇAMENTO!$AF$11)))</f>
        <v>0</v>
      </c>
      <c r="Q125" s="382"/>
      <c r="R125" s="383"/>
      <c r="T125" s="119" t="str">
        <f ca="1">IF($W125&gt;0,$D125,"")</f>
        <v/>
      </c>
      <c r="U125" s="172" t="str">
        <f ca="1">IF($W125&gt;0,$E125,"")</f>
        <v/>
      </c>
      <c r="V125" s="173" t="str">
        <f ca="1">IF(AND($W125&gt;0,RegimeExecucao="Unitário"),$F125,"")</f>
        <v/>
      </c>
      <c r="W125" s="547">
        <f ca="1">IF($Y125&gt;0,CHOOSE(MATCH(RegimeExecucao,{"Unitário","Global"},0),IF($A125="S",$Y125/$X125,""),($Y125/$X125)*100),0)</f>
        <v>0</v>
      </c>
      <c r="X125" s="384" t="str">
        <f ca="1">IF($Y125&gt;0,CHOOSE(MATCH(RegimeExecucao,{"Unitário","Global"},0),IF($A125="S",ROUND($H125,ORÇAMENTO!$AF$10),""),ROUND($I125,ORÇAMENTO!$AF$11)),"")</f>
        <v/>
      </c>
      <c r="Y125" s="384">
        <f ca="1">AO125-O125</f>
        <v>0</v>
      </c>
      <c r="Z125" s="572"/>
      <c r="AB125" s="382"/>
      <c r="AC125" s="516"/>
      <c r="AD125" s="516"/>
      <c r="AE125" s="516"/>
      <c r="AF125" s="516"/>
      <c r="AG125" s="516"/>
      <c r="AH125" s="516"/>
      <c r="AI125" s="516"/>
      <c r="AJ125" s="516"/>
      <c r="AK125" s="516"/>
      <c r="AL125" s="516"/>
      <c r="AM125" s="383"/>
      <c r="AO125">
        <f ca="1">IF($A125="S",IF(BM!$I125=0,0,CHOOSE(MATCH(RegimeExecucao,{"Global","Unitário"},0),ROUND(ROUND(BM.MEDAcumulado,15-13*BM!$A$9)/100*BM!$I125,15-13*ORÇAMENTO!$AF$11),ROUND(ROUND(BM.MEDAcumulado,15-13*BM!$A$9)*ROUND(BM!$H125,15-13*ORÇAMENTO!$AF$10),15-13*ORÇAMENTO!$AF$11))),IF($A125=0,0,ROUND(SomaAgrupBM,15-13*ORÇAMENTO!$AF$11)))</f>
        <v>0</v>
      </c>
    </row>
    <row r="126" spans="1:41" ht="25.5" x14ac:dyDescent="0.2">
      <c r="A126" t="str">
        <f ca="1">ORÇAMENTO!C126</f>
        <v>S</v>
      </c>
      <c r="B126">
        <f ca="1">ORÇAMENTO!D126</f>
        <v>0</v>
      </c>
      <c r="C126" s="116" t="str">
        <f ca="1">IF(OR($I126&gt;0,$A126=1,$A126=2,$A126=3,$A126=4),"F","")</f>
        <v>F</v>
      </c>
      <c r="D126" s="119" t="str">
        <f ca="1">ORÇAMENTO!O126</f>
        <v>8.1.3.</v>
      </c>
      <c r="E126" s="172" t="str">
        <f t="shared" ca="1" si="60"/>
        <v>PINTURA LÁTEX ACRÍLICA PREMIUM, APLICAÇÃO MANUAL EM PAREDES, DUAS DEMÃOS. AF_04/2023</v>
      </c>
      <c r="F126" s="173" t="str">
        <f ca="1">IF(RegimeExecucao="Global","",ORÇAMENTO.Unidade)</f>
        <v>M2</v>
      </c>
      <c r="G126" s="124">
        <f ca="1">IF(RegimeExecucao="Global","",ORÇAMENTO!T126)</f>
        <v>160.44</v>
      </c>
      <c r="H126" s="124">
        <f ca="1">IF(RegimeExecucao="Global","",ORÇAMENTO!W126)</f>
        <v>17.579999999999998</v>
      </c>
      <c r="I126" s="127">
        <f ca="1">ORÇAMENTO!X126</f>
        <v>2820.54</v>
      </c>
      <c r="J126" s="378">
        <f ca="1">IF($A126="S",IF(CAIXA.Modo,BM.AFAnterior,BM.MEDAnterior),IF(AND(RegimeExecucao="Global",$I126&gt;0,COUNTIF($AB$13:$AM$13,BM.medicao-1)&gt;0),M126/$I126*100,0))</f>
        <v>0</v>
      </c>
      <c r="K126" s="124">
        <f ca="1">L126-J126</f>
        <v>0</v>
      </c>
      <c r="L126" s="379">
        <f ca="1">IF($A126="S",IF(CAIXA.Modo,BM.AFAcumulado,BM.MEDAcumulado),IF(AND(RegimeExecucao="Global",$I126&gt;0,COUNTIF($AB$13:$AM$13,BM.medicao)&gt;0),O126/$I126*100,0))</f>
        <v>0</v>
      </c>
      <c r="M126" s="380">
        <f ca="1">IF($A126="S",VTOTALBM,IF($A126=0,0,ROUND(SomaAgrupBM,15-13*ORÇAMENTO!$AF$11)))</f>
        <v>0</v>
      </c>
      <c r="N126" s="381">
        <f ca="1">O126-M126</f>
        <v>0</v>
      </c>
      <c r="O126" s="127">
        <f ca="1">IF($A126="S",VTOTALBM,IF($A126=0,0,ROUND(SomaAgrupBM,15-13*ORÇAMENTO!$AF$11)))</f>
        <v>0</v>
      </c>
      <c r="Q126" s="382"/>
      <c r="R126" s="383"/>
      <c r="T126" s="119" t="str">
        <f ca="1">IF($W126&gt;0,$D126,"")</f>
        <v/>
      </c>
      <c r="U126" s="172" t="str">
        <f ca="1">IF($W126&gt;0,$E126,"")</f>
        <v/>
      </c>
      <c r="V126" s="173" t="str">
        <f ca="1">IF(AND($W126&gt;0,RegimeExecucao="Unitário"),$F126,"")</f>
        <v/>
      </c>
      <c r="W126" s="547">
        <f ca="1">IF($Y126&gt;0,CHOOSE(MATCH(RegimeExecucao,{"Unitário","Global"},0),IF($A126="S",$Y126/$X126,""),($Y126/$X126)*100),0)</f>
        <v>0</v>
      </c>
      <c r="X126" s="384" t="str">
        <f ca="1">IF($Y126&gt;0,CHOOSE(MATCH(RegimeExecucao,{"Unitário","Global"},0),IF($A126="S",ROUND($H126,ORÇAMENTO!$AF$10),""),ROUND($I126,ORÇAMENTO!$AF$11)),"")</f>
        <v/>
      </c>
      <c r="Y126" s="384">
        <f ca="1">AO126-O126</f>
        <v>0</v>
      </c>
      <c r="Z126" s="572"/>
      <c r="AB126" s="382"/>
      <c r="AC126" s="516"/>
      <c r="AD126" s="516"/>
      <c r="AE126" s="516"/>
      <c r="AF126" s="516"/>
      <c r="AG126" s="516"/>
      <c r="AH126" s="516"/>
      <c r="AI126" s="516"/>
      <c r="AJ126" s="516"/>
      <c r="AK126" s="516"/>
      <c r="AL126" s="516"/>
      <c r="AM126" s="383"/>
      <c r="AO126">
        <f ca="1">IF($A126="S",IF(BM!$I126=0,0,CHOOSE(MATCH(RegimeExecucao,{"Global","Unitário"},0),ROUND(ROUND(BM.MEDAcumulado,15-13*BM!$A$9)/100*BM!$I126,15-13*ORÇAMENTO!$AF$11),ROUND(ROUND(BM.MEDAcumulado,15-13*BM!$A$9)*ROUND(BM!$H126,15-13*ORÇAMENTO!$AF$10),15-13*ORÇAMENTO!$AF$11))),IF($A126=0,0,ROUND(SomaAgrupBM,15-13*ORÇAMENTO!$AF$11)))</f>
        <v>0</v>
      </c>
    </row>
    <row r="127" spans="1:41" x14ac:dyDescent="0.2">
      <c r="A127">
        <f ca="1">ORÇAMENTO!C127</f>
        <v>2</v>
      </c>
      <c r="B127">
        <f ca="1">ORÇAMENTO!D127</f>
        <v>15</v>
      </c>
      <c r="C127" s="116" t="str">
        <f t="shared" ref="C127:C164" ca="1" si="61">IF(OR($I127&gt;0,$A127=1,$A127=2,$A127=3,$A127=4),"F","")</f>
        <v>F</v>
      </c>
      <c r="D127" s="119" t="str">
        <f ca="1">ORÇAMENTO!O127</f>
        <v>8.2.</v>
      </c>
      <c r="E127" s="172" t="str">
        <f t="shared" si="60"/>
        <v>ACESSÓRIOS  E ACESSIBILIDADE</v>
      </c>
      <c r="F127" s="173" t="str">
        <f ca="1">IF(RegimeExecucao="Global","",ORÇAMENTO.Unidade)</f>
        <v>-</v>
      </c>
      <c r="G127" s="124">
        <f ca="1">IF(RegimeExecucao="Global","",ORÇAMENTO!T127)</f>
        <v>0</v>
      </c>
      <c r="H127" s="124">
        <f ca="1">IF(RegimeExecucao="Global","",ORÇAMENTO!W127)</f>
        <v>0</v>
      </c>
      <c r="I127" s="127">
        <f ca="1">ORÇAMENTO!X127</f>
        <v>18855.72</v>
      </c>
      <c r="J127" s="378">
        <f ca="1">IF($A127="S",IF(CAIXA.Modo,BM.AFAnterior,BM.MEDAnterior),IF(AND(RegimeExecucao="Global",$I127&gt;0,COUNTIF($AB$13:$AM$13,BM.medicao-1)&gt;0),M127/$I127*100,0))</f>
        <v>0</v>
      </c>
      <c r="K127" s="124">
        <f t="shared" ref="K127:K164" ca="1" si="62">L127-J127</f>
        <v>0</v>
      </c>
      <c r="L127" s="379">
        <f ca="1">IF($A127="S",IF(CAIXA.Modo,BM.AFAcumulado,BM.MEDAcumulado),IF(AND(RegimeExecucao="Global",$I127&gt;0,COUNTIF($AB$13:$AM$13,BM.medicao)&gt;0),O127/$I127*100,0))</f>
        <v>0</v>
      </c>
      <c r="M127" s="380">
        <f ca="1">IF($A127="S",VTOTALBM,IF($A127=0,0,ROUND(SomaAgrupBM,15-13*ORÇAMENTO!$AF$11)))</f>
        <v>0</v>
      </c>
      <c r="N127" s="381">
        <f t="shared" ref="N127:N164" ca="1" si="63">O127-M127</f>
        <v>0</v>
      </c>
      <c r="O127" s="127">
        <f ca="1">IF($A127="S",VTOTALBM,IF($A127=0,0,ROUND(SomaAgrupBM,15-13*ORÇAMENTO!$AF$11)))</f>
        <v>0</v>
      </c>
      <c r="Q127" s="382"/>
      <c r="R127" s="383"/>
      <c r="T127" s="119" t="str">
        <f t="shared" ref="T127:T164" ca="1" si="64">IF($W127&gt;0,$D127,"")</f>
        <v/>
      </c>
      <c r="U127" s="172" t="str">
        <f t="shared" ref="U127:U164" ca="1" si="65">IF($W127&gt;0,$E127,"")</f>
        <v/>
      </c>
      <c r="V127" s="173" t="str">
        <f ca="1">IF(AND($W127&gt;0,RegimeExecucao="Unitário"),$F127,"")</f>
        <v/>
      </c>
      <c r="W127" s="547">
        <f ca="1">IF($Y127&gt;0,CHOOSE(MATCH(RegimeExecucao,{"Unitário","Global"},0),IF($A127="S",$Y127/$X127,""),($Y127/$X127)*100),0)</f>
        <v>0</v>
      </c>
      <c r="X127" s="384" t="str">
        <f ca="1">IF($Y127&gt;0,CHOOSE(MATCH(RegimeExecucao,{"Unitário","Global"},0),IF($A127="S",ROUND($H127,ORÇAMENTO!$AF$10),""),ROUND($I127,ORÇAMENTO!$AF$11)),"")</f>
        <v/>
      </c>
      <c r="Y127" s="384">
        <f t="shared" ref="Y127:Y164" ca="1" si="66">AO127-O127</f>
        <v>0</v>
      </c>
      <c r="Z127" s="572"/>
      <c r="AB127" s="382"/>
      <c r="AC127" s="516"/>
      <c r="AD127" s="516"/>
      <c r="AE127" s="516"/>
      <c r="AF127" s="516"/>
      <c r="AG127" s="516"/>
      <c r="AH127" s="516"/>
      <c r="AI127" s="516"/>
      <c r="AJ127" s="516"/>
      <c r="AK127" s="516"/>
      <c r="AL127" s="516"/>
      <c r="AM127" s="383"/>
      <c r="AO127">
        <f ca="1">IF($A127="S",IF(BM!$I127=0,0,CHOOSE(MATCH(RegimeExecucao,{"Global","Unitário"},0),ROUND(ROUND(BM.MEDAcumulado,15-13*BM!$A$9)/100*BM!$I127,15-13*ORÇAMENTO!$AF$11),ROUND(ROUND(BM.MEDAcumulado,15-13*BM!$A$9)*ROUND(BM!$H127,15-13*ORÇAMENTO!$AF$10),15-13*ORÇAMENTO!$AF$11))),IF($A127=0,0,ROUND(SomaAgrupBM,15-13*ORÇAMENTO!$AF$11)))</f>
        <v>0</v>
      </c>
    </row>
    <row r="128" spans="1:41" ht="25.5" x14ac:dyDescent="0.2">
      <c r="A128" t="str">
        <f ca="1">ORÇAMENTO!C128</f>
        <v>S</v>
      </c>
      <c r="B128">
        <f ca="1">ORÇAMENTO!D128</f>
        <v>0</v>
      </c>
      <c r="C128" s="116" t="str">
        <f t="shared" ca="1" si="61"/>
        <v>F</v>
      </c>
      <c r="D128" s="119" t="str">
        <f ca="1">ORÇAMENTO!O128</f>
        <v>8.2.1.</v>
      </c>
      <c r="E128" s="172" t="str">
        <f t="shared" ca="1" si="60"/>
        <v>BACIA SANITARIA (VASO) COM CAIXA ACOPLADA, SIFAO APARENTE, DE LOUCA BRANCA (SEM ASSENTO)</v>
      </c>
      <c r="F128" s="173" t="str">
        <f ca="1">IF(RegimeExecucao="Global","",ORÇAMENTO.Unidade)</f>
        <v>UN</v>
      </c>
      <c r="G128" s="124">
        <f ca="1">IF(RegimeExecucao="Global","",ORÇAMENTO!T128)</f>
        <v>4</v>
      </c>
      <c r="H128" s="124">
        <f ca="1">IF(RegimeExecucao="Global","",ORÇAMENTO!W128)</f>
        <v>483.66</v>
      </c>
      <c r="I128" s="127">
        <f ca="1">ORÇAMENTO!X128</f>
        <v>1934.64</v>
      </c>
      <c r="J128" s="378">
        <f ca="1">IF($A128="S",IF(CAIXA.Modo,BM.AFAnterior,BM.MEDAnterior),IF(AND(RegimeExecucao="Global",$I128&gt;0,COUNTIF($AB$13:$AM$13,BM.medicao-1)&gt;0),M128/$I128*100,0))</f>
        <v>0</v>
      </c>
      <c r="K128" s="124">
        <f t="shared" ca="1" si="62"/>
        <v>0</v>
      </c>
      <c r="L128" s="379">
        <f ca="1">IF($A128="S",IF(CAIXA.Modo,BM.AFAcumulado,BM.MEDAcumulado),IF(AND(RegimeExecucao="Global",$I128&gt;0,COUNTIF($AB$13:$AM$13,BM.medicao)&gt;0),O128/$I128*100,0))</f>
        <v>0</v>
      </c>
      <c r="M128" s="380">
        <f ca="1">IF($A128="S",VTOTALBM,IF($A128=0,0,ROUND(SomaAgrupBM,15-13*ORÇAMENTO!$AF$11)))</f>
        <v>0</v>
      </c>
      <c r="N128" s="381">
        <f t="shared" ca="1" si="63"/>
        <v>0</v>
      </c>
      <c r="O128" s="127">
        <f ca="1">IF($A128="S",VTOTALBM,IF($A128=0,0,ROUND(SomaAgrupBM,15-13*ORÇAMENTO!$AF$11)))</f>
        <v>0</v>
      </c>
      <c r="Q128" s="382"/>
      <c r="R128" s="383"/>
      <c r="T128" s="119" t="str">
        <f t="shared" ca="1" si="64"/>
        <v/>
      </c>
      <c r="U128" s="172" t="str">
        <f t="shared" ca="1" si="65"/>
        <v/>
      </c>
      <c r="V128" s="173" t="str">
        <f ca="1">IF(AND($W128&gt;0,RegimeExecucao="Unitário"),$F128,"")</f>
        <v/>
      </c>
      <c r="W128" s="547">
        <f ca="1">IF($Y128&gt;0,CHOOSE(MATCH(RegimeExecucao,{"Unitário","Global"},0),IF($A128="S",$Y128/$X128,""),($Y128/$X128)*100),0)</f>
        <v>0</v>
      </c>
      <c r="X128" s="384" t="str">
        <f ca="1">IF($Y128&gt;0,CHOOSE(MATCH(RegimeExecucao,{"Unitário","Global"},0),IF($A128="S",ROUND($H128,ORÇAMENTO!$AF$10),""),ROUND($I128,ORÇAMENTO!$AF$11)),"")</f>
        <v/>
      </c>
      <c r="Y128" s="384">
        <f t="shared" ca="1" si="66"/>
        <v>0</v>
      </c>
      <c r="Z128" s="572"/>
      <c r="AB128" s="382"/>
      <c r="AC128" s="516"/>
      <c r="AD128" s="516"/>
      <c r="AE128" s="516"/>
      <c r="AF128" s="516"/>
      <c r="AG128" s="516"/>
      <c r="AH128" s="516"/>
      <c r="AI128" s="516"/>
      <c r="AJ128" s="516"/>
      <c r="AK128" s="516"/>
      <c r="AL128" s="516"/>
      <c r="AM128" s="383"/>
      <c r="AO128">
        <f ca="1">IF($A128="S",IF(BM!$I128=0,0,CHOOSE(MATCH(RegimeExecucao,{"Global","Unitário"},0),ROUND(ROUND(BM.MEDAcumulado,15-13*BM!$A$9)/100*BM!$I128,15-13*ORÇAMENTO!$AF$11),ROUND(ROUND(BM.MEDAcumulado,15-13*BM!$A$9)*ROUND(BM!$H128,15-13*ORÇAMENTO!$AF$10),15-13*ORÇAMENTO!$AF$11))),IF($A128=0,0,ROUND(SomaAgrupBM,15-13*ORÇAMENTO!$AF$11)))</f>
        <v>0</v>
      </c>
    </row>
    <row r="129" spans="1:41" x14ac:dyDescent="0.2">
      <c r="A129" t="str">
        <f ca="1">ORÇAMENTO!C129</f>
        <v>S</v>
      </c>
      <c r="B129">
        <f ca="1">ORÇAMENTO!D129</f>
        <v>0</v>
      </c>
      <c r="C129" s="116" t="str">
        <f t="shared" ca="1" si="61"/>
        <v>F</v>
      </c>
      <c r="D129" s="119" t="str">
        <f ca="1">ORÇAMENTO!O129</f>
        <v>8.2.2.</v>
      </c>
      <c r="E129" s="172" t="str">
        <f t="shared" ca="1" si="60"/>
        <v>ASSENTO SANITARIO DE PLASTICO, TIPO CONVENCIONAL</v>
      </c>
      <c r="F129" s="173" t="str">
        <f ca="1">IF(RegimeExecucao="Global","",ORÇAMENTO.Unidade)</f>
        <v>UN</v>
      </c>
      <c r="G129" s="124">
        <f ca="1">IF(RegimeExecucao="Global","",ORÇAMENTO!T129)</f>
        <v>4</v>
      </c>
      <c r="H129" s="124">
        <f ca="1">IF(RegimeExecucao="Global","",ORÇAMENTO!W129)</f>
        <v>57.65</v>
      </c>
      <c r="I129" s="127">
        <f ca="1">ORÇAMENTO!X129</f>
        <v>230.6</v>
      </c>
      <c r="J129" s="378">
        <f ca="1">IF($A129="S",IF(CAIXA.Modo,BM.AFAnterior,BM.MEDAnterior),IF(AND(RegimeExecucao="Global",$I129&gt;0,COUNTIF($AB$13:$AM$13,BM.medicao-1)&gt;0),M129/$I129*100,0))</f>
        <v>0</v>
      </c>
      <c r="K129" s="124">
        <f t="shared" ca="1" si="62"/>
        <v>0</v>
      </c>
      <c r="L129" s="379">
        <f ca="1">IF($A129="S",IF(CAIXA.Modo,BM.AFAcumulado,BM.MEDAcumulado),IF(AND(RegimeExecucao="Global",$I129&gt;0,COUNTIF($AB$13:$AM$13,BM.medicao)&gt;0),O129/$I129*100,0))</f>
        <v>0</v>
      </c>
      <c r="M129" s="380">
        <f ca="1">IF($A129="S",VTOTALBM,IF($A129=0,0,ROUND(SomaAgrupBM,15-13*ORÇAMENTO!$AF$11)))</f>
        <v>0</v>
      </c>
      <c r="N129" s="381">
        <f t="shared" ca="1" si="63"/>
        <v>0</v>
      </c>
      <c r="O129" s="127">
        <f ca="1">IF($A129="S",VTOTALBM,IF($A129=0,0,ROUND(SomaAgrupBM,15-13*ORÇAMENTO!$AF$11)))</f>
        <v>0</v>
      </c>
      <c r="Q129" s="382"/>
      <c r="R129" s="383"/>
      <c r="T129" s="119" t="str">
        <f t="shared" ca="1" si="64"/>
        <v/>
      </c>
      <c r="U129" s="172" t="str">
        <f t="shared" ca="1" si="65"/>
        <v/>
      </c>
      <c r="V129" s="173" t="str">
        <f ca="1">IF(AND($W129&gt;0,RegimeExecucao="Unitário"),$F129,"")</f>
        <v/>
      </c>
      <c r="W129" s="547">
        <f ca="1">IF($Y129&gt;0,CHOOSE(MATCH(RegimeExecucao,{"Unitário","Global"},0),IF($A129="S",$Y129/$X129,""),($Y129/$X129)*100),0)</f>
        <v>0</v>
      </c>
      <c r="X129" s="384" t="str">
        <f ca="1">IF($Y129&gt;0,CHOOSE(MATCH(RegimeExecucao,{"Unitário","Global"},0),IF($A129="S",ROUND($H129,ORÇAMENTO!$AF$10),""),ROUND($I129,ORÇAMENTO!$AF$11)),"")</f>
        <v/>
      </c>
      <c r="Y129" s="384">
        <f t="shared" ca="1" si="66"/>
        <v>0</v>
      </c>
      <c r="Z129" s="572"/>
      <c r="AB129" s="382"/>
      <c r="AC129" s="516"/>
      <c r="AD129" s="516"/>
      <c r="AE129" s="516"/>
      <c r="AF129" s="516"/>
      <c r="AG129" s="516"/>
      <c r="AH129" s="516"/>
      <c r="AI129" s="516"/>
      <c r="AJ129" s="516"/>
      <c r="AK129" s="516"/>
      <c r="AL129" s="516"/>
      <c r="AM129" s="383"/>
      <c r="AO129">
        <f ca="1">IF($A129="S",IF(BM!$I129=0,0,CHOOSE(MATCH(RegimeExecucao,{"Global","Unitário"},0),ROUND(ROUND(BM.MEDAcumulado,15-13*BM!$A$9)/100*BM!$I129,15-13*ORÇAMENTO!$AF$11),ROUND(ROUND(BM.MEDAcumulado,15-13*BM!$A$9)*ROUND(BM!$H129,15-13*ORÇAMENTO!$AF$10),15-13*ORÇAMENTO!$AF$11))),IF($A129=0,0,ROUND(SomaAgrupBM,15-13*ORÇAMENTO!$AF$11)))</f>
        <v>0</v>
      </c>
    </row>
    <row r="130" spans="1:41" ht="25.5" x14ac:dyDescent="0.2">
      <c r="A130" t="str">
        <f ca="1">ORÇAMENTO!C130</f>
        <v>S</v>
      </c>
      <c r="B130">
        <f ca="1">ORÇAMENTO!D130</f>
        <v>0</v>
      </c>
      <c r="C130" s="116" t="str">
        <f t="shared" ca="1" si="61"/>
        <v>F</v>
      </c>
      <c r="D130" s="119" t="str">
        <f ca="1">ORÇAMENTO!O130</f>
        <v>8.2.3.</v>
      </c>
      <c r="E130" s="172" t="str">
        <f t="shared" ca="1" si="60"/>
        <v>LAVATORIO DE CANTO DE LOUCA BRANCA, SUSPENSO (SEM COLUNA), DIMENSOES *40 X 30* CM (L X C)</v>
      </c>
      <c r="F130" s="173" t="str">
        <f ca="1">IF(RegimeExecucao="Global","",ORÇAMENTO.Unidade)</f>
        <v>UN</v>
      </c>
      <c r="G130" s="124">
        <f ca="1">IF(RegimeExecucao="Global","",ORÇAMENTO!T130)</f>
        <v>4</v>
      </c>
      <c r="H130" s="124">
        <f ca="1">IF(RegimeExecucao="Global","",ORÇAMENTO!W130)</f>
        <v>193.7</v>
      </c>
      <c r="I130" s="127">
        <f ca="1">ORÇAMENTO!X130</f>
        <v>774.8</v>
      </c>
      <c r="J130" s="378">
        <f ca="1">IF($A130="S",IF(CAIXA.Modo,BM.AFAnterior,BM.MEDAnterior),IF(AND(RegimeExecucao="Global",$I130&gt;0,COUNTIF($AB$13:$AM$13,BM.medicao-1)&gt;0),M130/$I130*100,0))</f>
        <v>0</v>
      </c>
      <c r="K130" s="124">
        <f t="shared" ca="1" si="62"/>
        <v>0</v>
      </c>
      <c r="L130" s="379">
        <f ca="1">IF($A130="S",IF(CAIXA.Modo,BM.AFAcumulado,BM.MEDAcumulado),IF(AND(RegimeExecucao="Global",$I130&gt;0,COUNTIF($AB$13:$AM$13,BM.medicao)&gt;0),O130/$I130*100,0))</f>
        <v>0</v>
      </c>
      <c r="M130" s="380">
        <f ca="1">IF($A130="S",VTOTALBM,IF($A130=0,0,ROUND(SomaAgrupBM,15-13*ORÇAMENTO!$AF$11)))</f>
        <v>0</v>
      </c>
      <c r="N130" s="381">
        <f t="shared" ca="1" si="63"/>
        <v>0</v>
      </c>
      <c r="O130" s="127">
        <f ca="1">IF($A130="S",VTOTALBM,IF($A130=0,0,ROUND(SomaAgrupBM,15-13*ORÇAMENTO!$AF$11)))</f>
        <v>0</v>
      </c>
      <c r="Q130" s="382"/>
      <c r="R130" s="383"/>
      <c r="T130" s="119" t="str">
        <f t="shared" ca="1" si="64"/>
        <v/>
      </c>
      <c r="U130" s="172" t="str">
        <f t="shared" ca="1" si="65"/>
        <v/>
      </c>
      <c r="V130" s="173" t="str">
        <f ca="1">IF(AND($W130&gt;0,RegimeExecucao="Unitário"),$F130,"")</f>
        <v/>
      </c>
      <c r="W130" s="547">
        <f ca="1">IF($Y130&gt;0,CHOOSE(MATCH(RegimeExecucao,{"Unitário","Global"},0),IF($A130="S",$Y130/$X130,""),($Y130/$X130)*100),0)</f>
        <v>0</v>
      </c>
      <c r="X130" s="384" t="str">
        <f ca="1">IF($Y130&gt;0,CHOOSE(MATCH(RegimeExecucao,{"Unitário","Global"},0),IF($A130="S",ROUND($H130,ORÇAMENTO!$AF$10),""),ROUND($I130,ORÇAMENTO!$AF$11)),"")</f>
        <v/>
      </c>
      <c r="Y130" s="384">
        <f t="shared" ca="1" si="66"/>
        <v>0</v>
      </c>
      <c r="Z130" s="572"/>
      <c r="AB130" s="382"/>
      <c r="AC130" s="516"/>
      <c r="AD130" s="516"/>
      <c r="AE130" s="516"/>
      <c r="AF130" s="516"/>
      <c r="AG130" s="516"/>
      <c r="AH130" s="516"/>
      <c r="AI130" s="516"/>
      <c r="AJ130" s="516"/>
      <c r="AK130" s="516"/>
      <c r="AL130" s="516"/>
      <c r="AM130" s="383"/>
      <c r="AO130">
        <f ca="1">IF($A130="S",IF(BM!$I130=0,0,CHOOSE(MATCH(RegimeExecucao,{"Global","Unitário"},0),ROUND(ROUND(BM.MEDAcumulado,15-13*BM!$A$9)/100*BM!$I130,15-13*ORÇAMENTO!$AF$11),ROUND(ROUND(BM.MEDAcumulado,15-13*BM!$A$9)*ROUND(BM!$H130,15-13*ORÇAMENTO!$AF$10),15-13*ORÇAMENTO!$AF$11))),IF($A130=0,0,ROUND(SomaAgrupBM,15-13*ORÇAMENTO!$AF$11)))</f>
        <v>0</v>
      </c>
    </row>
    <row r="131" spans="1:41" ht="25.5" x14ac:dyDescent="0.2">
      <c r="A131" t="str">
        <f ca="1">ORÇAMENTO!C131</f>
        <v>S</v>
      </c>
      <c r="B131">
        <f ca="1">ORÇAMENTO!D131</f>
        <v>0</v>
      </c>
      <c r="C131" s="116" t="str">
        <f t="shared" ca="1" si="61"/>
        <v>F</v>
      </c>
      <c r="D131" s="119" t="str">
        <f ca="1">ORÇAMENTO!O131</f>
        <v>8.2.4.</v>
      </c>
      <c r="E131" s="172" t="str">
        <f t="shared" ca="1" si="60"/>
        <v>TORNEIRA CROMADA DE MESA, 1/2" OU 3/4", PARA LAVATÓRIO, PADRÃO MÉDIO - FORNECIMENTO E INSTALAÇÃO. AF_02/2026</v>
      </c>
      <c r="F131" s="173" t="str">
        <f ca="1">IF(RegimeExecucao="Global","",ORÇAMENTO.Unidade)</f>
        <v>UN</v>
      </c>
      <c r="G131" s="124">
        <f ca="1">IF(RegimeExecucao="Global","",ORÇAMENTO!T131)</f>
        <v>4</v>
      </c>
      <c r="H131" s="124">
        <f ca="1">IF(RegimeExecucao="Global","",ORÇAMENTO!W131)</f>
        <v>240.51</v>
      </c>
      <c r="I131" s="127">
        <f ca="1">ORÇAMENTO!X131</f>
        <v>962.04</v>
      </c>
      <c r="J131" s="378">
        <f ca="1">IF($A131="S",IF(CAIXA.Modo,BM.AFAnterior,BM.MEDAnterior),IF(AND(RegimeExecucao="Global",$I131&gt;0,COUNTIF($AB$13:$AM$13,BM.medicao-1)&gt;0),M131/$I131*100,0))</f>
        <v>0</v>
      </c>
      <c r="K131" s="124">
        <f t="shared" ca="1" si="62"/>
        <v>0</v>
      </c>
      <c r="L131" s="379">
        <f ca="1">IF($A131="S",IF(CAIXA.Modo,BM.AFAcumulado,BM.MEDAcumulado),IF(AND(RegimeExecucao="Global",$I131&gt;0,COUNTIF($AB$13:$AM$13,BM.medicao)&gt;0),O131/$I131*100,0))</f>
        <v>0</v>
      </c>
      <c r="M131" s="380">
        <f ca="1">IF($A131="S",VTOTALBM,IF($A131=0,0,ROUND(SomaAgrupBM,15-13*ORÇAMENTO!$AF$11)))</f>
        <v>0</v>
      </c>
      <c r="N131" s="381">
        <f t="shared" ca="1" si="63"/>
        <v>0</v>
      </c>
      <c r="O131" s="127">
        <f ca="1">IF($A131="S",VTOTALBM,IF($A131=0,0,ROUND(SomaAgrupBM,15-13*ORÇAMENTO!$AF$11)))</f>
        <v>0</v>
      </c>
      <c r="Q131" s="382"/>
      <c r="R131" s="383"/>
      <c r="T131" s="119" t="str">
        <f t="shared" ca="1" si="64"/>
        <v/>
      </c>
      <c r="U131" s="172" t="str">
        <f t="shared" ca="1" si="65"/>
        <v/>
      </c>
      <c r="V131" s="173" t="str">
        <f ca="1">IF(AND($W131&gt;0,RegimeExecucao="Unitário"),$F131,"")</f>
        <v/>
      </c>
      <c r="W131" s="547">
        <f ca="1">IF($Y131&gt;0,CHOOSE(MATCH(RegimeExecucao,{"Unitário","Global"},0),IF($A131="S",$Y131/$X131,""),($Y131/$X131)*100),0)</f>
        <v>0</v>
      </c>
      <c r="X131" s="384" t="str">
        <f ca="1">IF($Y131&gt;0,CHOOSE(MATCH(RegimeExecucao,{"Unitário","Global"},0),IF($A131="S",ROUND($H131,ORÇAMENTO!$AF$10),""),ROUND($I131,ORÇAMENTO!$AF$11)),"")</f>
        <v/>
      </c>
      <c r="Y131" s="384">
        <f t="shared" ca="1" si="66"/>
        <v>0</v>
      </c>
      <c r="Z131" s="572"/>
      <c r="AB131" s="382"/>
      <c r="AC131" s="516"/>
      <c r="AD131" s="516"/>
      <c r="AE131" s="516"/>
      <c r="AF131" s="516"/>
      <c r="AG131" s="516"/>
      <c r="AH131" s="516"/>
      <c r="AI131" s="516"/>
      <c r="AJ131" s="516"/>
      <c r="AK131" s="516"/>
      <c r="AL131" s="516"/>
      <c r="AM131" s="383"/>
      <c r="AO131">
        <f ca="1">IF($A131="S",IF(BM!$I131=0,0,CHOOSE(MATCH(RegimeExecucao,{"Global","Unitário"},0),ROUND(ROUND(BM.MEDAcumulado,15-13*BM!$A$9)/100*BM!$I131,15-13*ORÇAMENTO!$AF$11),ROUND(ROUND(BM.MEDAcumulado,15-13*BM!$A$9)*ROUND(BM!$H131,15-13*ORÇAMENTO!$AF$10),15-13*ORÇAMENTO!$AF$11))),IF($A131=0,0,ROUND(SomaAgrupBM,15-13*ORÇAMENTO!$AF$11)))</f>
        <v>0</v>
      </c>
    </row>
    <row r="132" spans="1:41" ht="38.25" x14ac:dyDescent="0.2">
      <c r="A132" t="str">
        <f ca="1">ORÇAMENTO!C132</f>
        <v>S</v>
      </c>
      <c r="B132">
        <f ca="1">ORÇAMENTO!D132</f>
        <v>0</v>
      </c>
      <c r="C132" s="116" t="str">
        <f t="shared" ca="1" si="61"/>
        <v>F</v>
      </c>
      <c r="D132" s="119" t="str">
        <f ca="1">ORÇAMENTO!O132</f>
        <v>8.2.5.</v>
      </c>
      <c r="E132" s="172" t="str">
        <f t="shared" ca="1" si="60"/>
        <v>SABONETEIRA PLÁSTICA TIPO DISPENSER PARA SABONETE LÍQUIDO COM RESERVATÓRIO 800 A 1500 ML, INCLUSO FIXAÇÃO. AF_02/2026</v>
      </c>
      <c r="F132" s="173" t="str">
        <f ca="1">IF(RegimeExecucao="Global","",ORÇAMENTO.Unidade)</f>
        <v>UN</v>
      </c>
      <c r="G132" s="124">
        <f ca="1">IF(RegimeExecucao="Global","",ORÇAMENTO!T132)</f>
        <v>4</v>
      </c>
      <c r="H132" s="124">
        <f ca="1">IF(RegimeExecucao="Global","",ORÇAMENTO!W132)</f>
        <v>93.3</v>
      </c>
      <c r="I132" s="127">
        <f ca="1">ORÇAMENTO!X132</f>
        <v>373.2</v>
      </c>
      <c r="J132" s="378">
        <f ca="1">IF($A132="S",IF(CAIXA.Modo,BM.AFAnterior,BM.MEDAnterior),IF(AND(RegimeExecucao="Global",$I132&gt;0,COUNTIF($AB$13:$AM$13,BM.medicao-1)&gt;0),M132/$I132*100,0))</f>
        <v>0</v>
      </c>
      <c r="K132" s="124">
        <f t="shared" ca="1" si="62"/>
        <v>0</v>
      </c>
      <c r="L132" s="379">
        <f ca="1">IF($A132="S",IF(CAIXA.Modo,BM.AFAcumulado,BM.MEDAcumulado),IF(AND(RegimeExecucao="Global",$I132&gt;0,COUNTIF($AB$13:$AM$13,BM.medicao)&gt;0),O132/$I132*100,0))</f>
        <v>0</v>
      </c>
      <c r="M132" s="380">
        <f ca="1">IF($A132="S",VTOTALBM,IF($A132=0,0,ROUND(SomaAgrupBM,15-13*ORÇAMENTO!$AF$11)))</f>
        <v>0</v>
      </c>
      <c r="N132" s="381">
        <f t="shared" ca="1" si="63"/>
        <v>0</v>
      </c>
      <c r="O132" s="127">
        <f ca="1">IF($A132="S",VTOTALBM,IF($A132=0,0,ROUND(SomaAgrupBM,15-13*ORÇAMENTO!$AF$11)))</f>
        <v>0</v>
      </c>
      <c r="Q132" s="382"/>
      <c r="R132" s="383"/>
      <c r="T132" s="119" t="str">
        <f t="shared" ca="1" si="64"/>
        <v/>
      </c>
      <c r="U132" s="172" t="str">
        <f t="shared" ca="1" si="65"/>
        <v/>
      </c>
      <c r="V132" s="173" t="str">
        <f ca="1">IF(AND($W132&gt;0,RegimeExecucao="Unitário"),$F132,"")</f>
        <v/>
      </c>
      <c r="W132" s="547">
        <f ca="1">IF($Y132&gt;0,CHOOSE(MATCH(RegimeExecucao,{"Unitário","Global"},0),IF($A132="S",$Y132/$X132,""),($Y132/$X132)*100),0)</f>
        <v>0</v>
      </c>
      <c r="X132" s="384" t="str">
        <f ca="1">IF($Y132&gt;0,CHOOSE(MATCH(RegimeExecucao,{"Unitário","Global"},0),IF($A132="S",ROUND($H132,ORÇAMENTO!$AF$10),""),ROUND($I132,ORÇAMENTO!$AF$11)),"")</f>
        <v/>
      </c>
      <c r="Y132" s="384">
        <f t="shared" ca="1" si="66"/>
        <v>0</v>
      </c>
      <c r="Z132" s="572"/>
      <c r="AB132" s="382"/>
      <c r="AC132" s="516"/>
      <c r="AD132" s="516"/>
      <c r="AE132" s="516"/>
      <c r="AF132" s="516"/>
      <c r="AG132" s="516"/>
      <c r="AH132" s="516"/>
      <c r="AI132" s="516"/>
      <c r="AJ132" s="516"/>
      <c r="AK132" s="516"/>
      <c r="AL132" s="516"/>
      <c r="AM132" s="383"/>
      <c r="AO132">
        <f ca="1">IF($A132="S",IF(BM!$I132=0,0,CHOOSE(MATCH(RegimeExecucao,{"Global","Unitário"},0),ROUND(ROUND(BM.MEDAcumulado,15-13*BM!$A$9)/100*BM!$I132,15-13*ORÇAMENTO!$AF$11),ROUND(ROUND(BM.MEDAcumulado,15-13*BM!$A$9)*ROUND(BM!$H132,15-13*ORÇAMENTO!$AF$10),15-13*ORÇAMENTO!$AF$11))),IF($A132=0,0,ROUND(SomaAgrupBM,15-13*ORÇAMENTO!$AF$11)))</f>
        <v>0</v>
      </c>
    </row>
    <row r="133" spans="1:41" ht="25.5" x14ac:dyDescent="0.2">
      <c r="A133" t="str">
        <f ca="1">ORÇAMENTO!C133</f>
        <v>S</v>
      </c>
      <c r="B133">
        <f ca="1">ORÇAMENTO!D133</f>
        <v>0</v>
      </c>
      <c r="C133" s="116" t="str">
        <f t="shared" ca="1" si="61"/>
        <v>F</v>
      </c>
      <c r="D133" s="119" t="str">
        <f ca="1">ORÇAMENTO!O133</f>
        <v>8.2.6.</v>
      </c>
      <c r="E133" s="172" t="str">
        <f t="shared" ca="1" si="60"/>
        <v>PAPELEIRA PLASTICA TIPO DISPENSER PARA PAPEL HIGIENICO ROLAO</v>
      </c>
      <c r="F133" s="173" t="str">
        <f ca="1">IF(RegimeExecucao="Global","",ORÇAMENTO.Unidade)</f>
        <v>UN</v>
      </c>
      <c r="G133" s="124">
        <f ca="1">IF(RegimeExecucao="Global","",ORÇAMENTO!T133)</f>
        <v>4</v>
      </c>
      <c r="H133" s="124">
        <f ca="1">IF(RegimeExecucao="Global","",ORÇAMENTO!W133)</f>
        <v>73.92</v>
      </c>
      <c r="I133" s="127">
        <f ca="1">ORÇAMENTO!X133</f>
        <v>295.68</v>
      </c>
      <c r="J133" s="378">
        <f ca="1">IF($A133="S",IF(CAIXA.Modo,BM.AFAnterior,BM.MEDAnterior),IF(AND(RegimeExecucao="Global",$I133&gt;0,COUNTIF($AB$13:$AM$13,BM.medicao-1)&gt;0),M133/$I133*100,0))</f>
        <v>0</v>
      </c>
      <c r="K133" s="124">
        <f t="shared" ca="1" si="62"/>
        <v>0</v>
      </c>
      <c r="L133" s="379">
        <f ca="1">IF($A133="S",IF(CAIXA.Modo,BM.AFAcumulado,BM.MEDAcumulado),IF(AND(RegimeExecucao="Global",$I133&gt;0,COUNTIF($AB$13:$AM$13,BM.medicao)&gt;0),O133/$I133*100,0))</f>
        <v>0</v>
      </c>
      <c r="M133" s="380">
        <f ca="1">IF($A133="S",VTOTALBM,IF($A133=0,0,ROUND(SomaAgrupBM,15-13*ORÇAMENTO!$AF$11)))</f>
        <v>0</v>
      </c>
      <c r="N133" s="381">
        <f t="shared" ca="1" si="63"/>
        <v>0</v>
      </c>
      <c r="O133" s="127">
        <f ca="1">IF($A133="S",VTOTALBM,IF($A133=0,0,ROUND(SomaAgrupBM,15-13*ORÇAMENTO!$AF$11)))</f>
        <v>0</v>
      </c>
      <c r="Q133" s="382"/>
      <c r="R133" s="383"/>
      <c r="T133" s="119" t="str">
        <f t="shared" ca="1" si="64"/>
        <v/>
      </c>
      <c r="U133" s="172" t="str">
        <f t="shared" ca="1" si="65"/>
        <v/>
      </c>
      <c r="V133" s="173" t="str">
        <f ca="1">IF(AND($W133&gt;0,RegimeExecucao="Unitário"),$F133,"")</f>
        <v/>
      </c>
      <c r="W133" s="547">
        <f ca="1">IF($Y133&gt;0,CHOOSE(MATCH(RegimeExecucao,{"Unitário","Global"},0),IF($A133="S",$Y133/$X133,""),($Y133/$X133)*100),0)</f>
        <v>0</v>
      </c>
      <c r="X133" s="384" t="str">
        <f ca="1">IF($Y133&gt;0,CHOOSE(MATCH(RegimeExecucao,{"Unitário","Global"},0),IF($A133="S",ROUND($H133,ORÇAMENTO!$AF$10),""),ROUND($I133,ORÇAMENTO!$AF$11)),"")</f>
        <v/>
      </c>
      <c r="Y133" s="384">
        <f t="shared" ca="1" si="66"/>
        <v>0</v>
      </c>
      <c r="Z133" s="572"/>
      <c r="AB133" s="382"/>
      <c r="AC133" s="516"/>
      <c r="AD133" s="516"/>
      <c r="AE133" s="516"/>
      <c r="AF133" s="516"/>
      <c r="AG133" s="516"/>
      <c r="AH133" s="516"/>
      <c r="AI133" s="516"/>
      <c r="AJ133" s="516"/>
      <c r="AK133" s="516"/>
      <c r="AL133" s="516"/>
      <c r="AM133" s="383"/>
      <c r="AO133">
        <f ca="1">IF($A133="S",IF(BM!$I133=0,0,CHOOSE(MATCH(RegimeExecucao,{"Global","Unitário"},0),ROUND(ROUND(BM.MEDAcumulado,15-13*BM!$A$9)/100*BM!$I133,15-13*ORÇAMENTO!$AF$11),ROUND(ROUND(BM.MEDAcumulado,15-13*BM!$A$9)*ROUND(BM!$H133,15-13*ORÇAMENTO!$AF$10),15-13*ORÇAMENTO!$AF$11))),IF($A133=0,0,ROUND(SomaAgrupBM,15-13*ORÇAMENTO!$AF$11)))</f>
        <v>0</v>
      </c>
    </row>
    <row r="134" spans="1:41" ht="25.5" x14ac:dyDescent="0.2">
      <c r="A134" t="str">
        <f ca="1">ORÇAMENTO!C134</f>
        <v>S</v>
      </c>
      <c r="B134">
        <f ca="1">ORÇAMENTO!D134</f>
        <v>0</v>
      </c>
      <c r="C134" s="116" t="str">
        <f ca="1">IF(OR($I134&gt;0,$A134=1,$A134=2,$A134=3,$A134=4),"F","")</f>
        <v>F</v>
      </c>
      <c r="D134" s="119" t="str">
        <f ca="1">ORÇAMENTO!O134</f>
        <v>8.2.7.</v>
      </c>
      <c r="E134" s="172" t="str">
        <f ca="1">ORÇAMENTO.Descricao</f>
        <v>TOALHEIRO PLASTICO TIPO DISPENSER PARA PAPEL TOALHA INTERFOLHADO</v>
      </c>
      <c r="F134" s="173" t="str">
        <f ca="1">IF(RegimeExecucao="Global","",ORÇAMENTO.Unidade)</f>
        <v>UN</v>
      </c>
      <c r="G134" s="124">
        <f ca="1">IF(RegimeExecucao="Global","",ORÇAMENTO!T134)</f>
        <v>4</v>
      </c>
      <c r="H134" s="124">
        <f ca="1">IF(RegimeExecucao="Global","",ORÇAMENTO!W134)</f>
        <v>73.92</v>
      </c>
      <c r="I134" s="127">
        <f ca="1">ORÇAMENTO!X134</f>
        <v>295.68</v>
      </c>
      <c r="J134" s="378">
        <f ca="1">IF($A134="S",IF(CAIXA.Modo,BM.AFAnterior,BM.MEDAnterior),IF(AND(RegimeExecucao="Global",$I134&gt;0,COUNTIF($AB$13:$AM$13,BM.medicao-1)&gt;0),M134/$I134*100,0))</f>
        <v>0</v>
      </c>
      <c r="K134" s="124">
        <f ca="1">L134-J134</f>
        <v>0</v>
      </c>
      <c r="L134" s="379">
        <f ca="1">IF($A134="S",IF(CAIXA.Modo,BM.AFAcumulado,BM.MEDAcumulado),IF(AND(RegimeExecucao="Global",$I134&gt;0,COUNTIF($AB$13:$AM$13,BM.medicao)&gt;0),O134/$I134*100,0))</f>
        <v>0</v>
      </c>
      <c r="M134" s="380">
        <f ca="1">IF($A134="S",VTOTALBM,IF($A134=0,0,ROUND(SomaAgrupBM,15-13*ORÇAMENTO!$AF$11)))</f>
        <v>0</v>
      </c>
      <c r="N134" s="381">
        <f ca="1">O134-M134</f>
        <v>0</v>
      </c>
      <c r="O134" s="127">
        <f ca="1">IF($A134="S",VTOTALBM,IF($A134=0,0,ROUND(SomaAgrupBM,15-13*ORÇAMENTO!$AF$11)))</f>
        <v>0</v>
      </c>
      <c r="Q134" s="382"/>
      <c r="R134" s="383"/>
      <c r="T134" s="119" t="str">
        <f ca="1">IF($W134&gt;0,$D134,"")</f>
        <v/>
      </c>
      <c r="U134" s="172" t="str">
        <f ca="1">IF($W134&gt;0,$E134,"")</f>
        <v/>
      </c>
      <c r="V134" s="173" t="str">
        <f ca="1">IF(AND($W134&gt;0,RegimeExecucao="Unitário"),$F134,"")</f>
        <v/>
      </c>
      <c r="W134" s="547">
        <f ca="1">IF($Y134&gt;0,CHOOSE(MATCH(RegimeExecucao,{"Unitário","Global"},0),IF($A134="S",$Y134/$X134,""),($Y134/$X134)*100),0)</f>
        <v>0</v>
      </c>
      <c r="X134" s="384" t="str">
        <f ca="1">IF($Y134&gt;0,CHOOSE(MATCH(RegimeExecucao,{"Unitário","Global"},0),IF($A134="S",ROUND($H134,ORÇAMENTO!$AF$10),""),ROUND($I134,ORÇAMENTO!$AF$11)),"")</f>
        <v/>
      </c>
      <c r="Y134" s="384">
        <f ca="1">AO134-O134</f>
        <v>0</v>
      </c>
      <c r="Z134" s="572"/>
      <c r="AB134" s="382"/>
      <c r="AC134" s="516"/>
      <c r="AD134" s="516"/>
      <c r="AE134" s="516"/>
      <c r="AF134" s="516"/>
      <c r="AG134" s="516"/>
      <c r="AH134" s="516"/>
      <c r="AI134" s="516"/>
      <c r="AJ134" s="516"/>
      <c r="AK134" s="516"/>
      <c r="AL134" s="516"/>
      <c r="AM134" s="383"/>
      <c r="AO134">
        <f ca="1">IF($A134="S",IF(BM!$I134=0,0,CHOOSE(MATCH(RegimeExecucao,{"Global","Unitário"},0),ROUND(ROUND(BM.MEDAcumulado,15-13*BM!$A$9)/100*BM!$I134,15-13*ORÇAMENTO!$AF$11),ROUND(ROUND(BM.MEDAcumulado,15-13*BM!$A$9)*ROUND(BM!$H134,15-13*ORÇAMENTO!$AF$10),15-13*ORÇAMENTO!$AF$11))),IF($A134=0,0,ROUND(SomaAgrupBM,15-13*ORÇAMENTO!$AF$11)))</f>
        <v>0</v>
      </c>
    </row>
    <row r="135" spans="1:41" ht="25.5" x14ac:dyDescent="0.2">
      <c r="A135" t="str">
        <f ca="1">ORÇAMENTO!C135</f>
        <v>S</v>
      </c>
      <c r="B135">
        <f ca="1">ORÇAMENTO!D135</f>
        <v>0</v>
      </c>
      <c r="C135" s="116" t="str">
        <f t="shared" ca="1" si="61"/>
        <v>F</v>
      </c>
      <c r="D135" s="119" t="str">
        <f ca="1">ORÇAMENTO!O135</f>
        <v>8.2.8.</v>
      </c>
      <c r="E135" s="172" t="str">
        <f t="shared" ca="1" si="60"/>
        <v>BARRA DE APOIO RETA, EM ALUMÍNIO, COMPRIMENTO 70 CM, FIXADA NA PAREDE - FORNECIMENTO E INSTALAÇÃO. AF_02/2026</v>
      </c>
      <c r="F135" s="173" t="str">
        <f ca="1">IF(RegimeExecucao="Global","",ORÇAMENTO.Unidade)</f>
        <v>UN</v>
      </c>
      <c r="G135" s="124">
        <f ca="1">IF(RegimeExecucao="Global","",ORÇAMENTO!T135)</f>
        <v>6</v>
      </c>
      <c r="H135" s="124">
        <f ca="1">IF(RegimeExecucao="Global","",ORÇAMENTO!W135)</f>
        <v>377.47</v>
      </c>
      <c r="I135" s="127">
        <f ca="1">ORÇAMENTO!X135</f>
        <v>2264.8200000000002</v>
      </c>
      <c r="J135" s="378">
        <f ca="1">IF($A135="S",IF(CAIXA.Modo,BM.AFAnterior,BM.MEDAnterior),IF(AND(RegimeExecucao="Global",$I135&gt;0,COUNTIF($AB$13:$AM$13,BM.medicao-1)&gt;0),M135/$I135*100,0))</f>
        <v>0</v>
      </c>
      <c r="K135" s="124">
        <f t="shared" ca="1" si="62"/>
        <v>0</v>
      </c>
      <c r="L135" s="379">
        <f ca="1">IF($A135="S",IF(CAIXA.Modo,BM.AFAcumulado,BM.MEDAcumulado),IF(AND(RegimeExecucao="Global",$I135&gt;0,COUNTIF($AB$13:$AM$13,BM.medicao)&gt;0),O135/$I135*100,0))</f>
        <v>0</v>
      </c>
      <c r="M135" s="380">
        <f ca="1">IF($A135="S",VTOTALBM,IF($A135=0,0,ROUND(SomaAgrupBM,15-13*ORÇAMENTO!$AF$11)))</f>
        <v>0</v>
      </c>
      <c r="N135" s="381">
        <f t="shared" ca="1" si="63"/>
        <v>0</v>
      </c>
      <c r="O135" s="127">
        <f ca="1">IF($A135="S",VTOTALBM,IF($A135=0,0,ROUND(SomaAgrupBM,15-13*ORÇAMENTO!$AF$11)))</f>
        <v>0</v>
      </c>
      <c r="Q135" s="382"/>
      <c r="R135" s="383"/>
      <c r="T135" s="119" t="str">
        <f t="shared" ca="1" si="64"/>
        <v/>
      </c>
      <c r="U135" s="172" t="str">
        <f t="shared" ca="1" si="65"/>
        <v/>
      </c>
      <c r="V135" s="173" t="str">
        <f ca="1">IF(AND($W135&gt;0,RegimeExecucao="Unitário"),$F135,"")</f>
        <v/>
      </c>
      <c r="W135" s="547">
        <f ca="1">IF($Y135&gt;0,CHOOSE(MATCH(RegimeExecucao,{"Unitário","Global"},0),IF($A135="S",$Y135/$X135,""),($Y135/$X135)*100),0)</f>
        <v>0</v>
      </c>
      <c r="X135" s="384" t="str">
        <f ca="1">IF($Y135&gt;0,CHOOSE(MATCH(RegimeExecucao,{"Unitário","Global"},0),IF($A135="S",ROUND($H135,ORÇAMENTO!$AF$10),""),ROUND($I135,ORÇAMENTO!$AF$11)),"")</f>
        <v/>
      </c>
      <c r="Y135" s="384">
        <f t="shared" ca="1" si="66"/>
        <v>0</v>
      </c>
      <c r="Z135" s="572"/>
      <c r="AB135" s="382"/>
      <c r="AC135" s="516"/>
      <c r="AD135" s="516"/>
      <c r="AE135" s="516"/>
      <c r="AF135" s="516"/>
      <c r="AG135" s="516"/>
      <c r="AH135" s="516"/>
      <c r="AI135" s="516"/>
      <c r="AJ135" s="516"/>
      <c r="AK135" s="516"/>
      <c r="AL135" s="516"/>
      <c r="AM135" s="383"/>
      <c r="AO135">
        <f ca="1">IF($A135="S",IF(BM!$I135=0,0,CHOOSE(MATCH(RegimeExecucao,{"Global","Unitário"},0),ROUND(ROUND(BM.MEDAcumulado,15-13*BM!$A$9)/100*BM!$I135,15-13*ORÇAMENTO!$AF$11),ROUND(ROUND(BM.MEDAcumulado,15-13*BM!$A$9)*ROUND(BM!$H135,15-13*ORÇAMENTO!$AF$10),15-13*ORÇAMENTO!$AF$11))),IF($A135=0,0,ROUND(SomaAgrupBM,15-13*ORÇAMENTO!$AF$11)))</f>
        <v>0</v>
      </c>
    </row>
    <row r="136" spans="1:41" ht="25.5" x14ac:dyDescent="0.2">
      <c r="A136" t="str">
        <f ca="1">ORÇAMENTO!C136</f>
        <v>S</v>
      </c>
      <c r="B136">
        <f ca="1">ORÇAMENTO!D136</f>
        <v>0</v>
      </c>
      <c r="C136" s="116" t="str">
        <f t="shared" ca="1" si="61"/>
        <v>F</v>
      </c>
      <c r="D136" s="119" t="str">
        <f ca="1">ORÇAMENTO!O136</f>
        <v>8.2.9.</v>
      </c>
      <c r="E136" s="172" t="str">
        <f t="shared" ca="1" si="60"/>
        <v>BARRA DE APOIO RETA, EM ALUMÍNIO, COMPRIMENTO 80 CM, FIXADA NA PAREDE - FORNECIMENTO E INSTALAÇÃO. AF_02/2026</v>
      </c>
      <c r="F136" s="173" t="str">
        <f ca="1">IF(RegimeExecucao="Global","",ORÇAMENTO.Unidade)</f>
        <v>UN</v>
      </c>
      <c r="G136" s="124">
        <f ca="1">IF(RegimeExecucao="Global","",ORÇAMENTO!T136)</f>
        <v>4</v>
      </c>
      <c r="H136" s="124">
        <f ca="1">IF(RegimeExecucao="Global","",ORÇAMENTO!W136)</f>
        <v>390.93</v>
      </c>
      <c r="I136" s="127">
        <f ca="1">ORÇAMENTO!X136</f>
        <v>1563.72</v>
      </c>
      <c r="J136" s="378">
        <f ca="1">IF($A136="S",IF(CAIXA.Modo,BM.AFAnterior,BM.MEDAnterior),IF(AND(RegimeExecucao="Global",$I136&gt;0,COUNTIF($AB$13:$AM$13,BM.medicao-1)&gt;0),M136/$I136*100,0))</f>
        <v>0</v>
      </c>
      <c r="K136" s="124">
        <f t="shared" ca="1" si="62"/>
        <v>0</v>
      </c>
      <c r="L136" s="379">
        <f ca="1">IF($A136="S",IF(CAIXA.Modo,BM.AFAcumulado,BM.MEDAcumulado),IF(AND(RegimeExecucao="Global",$I136&gt;0,COUNTIF($AB$13:$AM$13,BM.medicao)&gt;0),O136/$I136*100,0))</f>
        <v>0</v>
      </c>
      <c r="M136" s="380">
        <f ca="1">IF($A136="S",VTOTALBM,IF($A136=0,0,ROUND(SomaAgrupBM,15-13*ORÇAMENTO!$AF$11)))</f>
        <v>0</v>
      </c>
      <c r="N136" s="381">
        <f t="shared" ca="1" si="63"/>
        <v>0</v>
      </c>
      <c r="O136" s="127">
        <f ca="1">IF($A136="S",VTOTALBM,IF($A136=0,0,ROUND(SomaAgrupBM,15-13*ORÇAMENTO!$AF$11)))</f>
        <v>0</v>
      </c>
      <c r="Q136" s="382"/>
      <c r="R136" s="383"/>
      <c r="T136" s="119" t="str">
        <f t="shared" ca="1" si="64"/>
        <v/>
      </c>
      <c r="U136" s="172" t="str">
        <f t="shared" ca="1" si="65"/>
        <v/>
      </c>
      <c r="V136" s="173" t="str">
        <f ca="1">IF(AND($W136&gt;0,RegimeExecucao="Unitário"),$F136,"")</f>
        <v/>
      </c>
      <c r="W136" s="547">
        <f ca="1">IF($Y136&gt;0,CHOOSE(MATCH(RegimeExecucao,{"Unitário","Global"},0),IF($A136="S",$Y136/$X136,""),($Y136/$X136)*100),0)</f>
        <v>0</v>
      </c>
      <c r="X136" s="384" t="str">
        <f ca="1">IF($Y136&gt;0,CHOOSE(MATCH(RegimeExecucao,{"Unitário","Global"},0),IF($A136="S",ROUND($H136,ORÇAMENTO!$AF$10),""),ROUND($I136,ORÇAMENTO!$AF$11)),"")</f>
        <v/>
      </c>
      <c r="Y136" s="384">
        <f t="shared" ca="1" si="66"/>
        <v>0</v>
      </c>
      <c r="Z136" s="572"/>
      <c r="AB136" s="382"/>
      <c r="AC136" s="516"/>
      <c r="AD136" s="516"/>
      <c r="AE136" s="516"/>
      <c r="AF136" s="516"/>
      <c r="AG136" s="516"/>
      <c r="AH136" s="516"/>
      <c r="AI136" s="516"/>
      <c r="AJ136" s="516"/>
      <c r="AK136" s="516"/>
      <c r="AL136" s="516"/>
      <c r="AM136" s="383"/>
      <c r="AO136">
        <f ca="1">IF($A136="S",IF(BM!$I136=0,0,CHOOSE(MATCH(RegimeExecucao,{"Global","Unitário"},0),ROUND(ROUND(BM.MEDAcumulado,15-13*BM!$A$9)/100*BM!$I136,15-13*ORÇAMENTO!$AF$11),ROUND(ROUND(BM.MEDAcumulado,15-13*BM!$A$9)*ROUND(BM!$H136,15-13*ORÇAMENTO!$AF$10),15-13*ORÇAMENTO!$AF$11))),IF($A136=0,0,ROUND(SomaAgrupBM,15-13*ORÇAMENTO!$AF$11)))</f>
        <v>0</v>
      </c>
    </row>
    <row r="137" spans="1:41" ht="25.5" x14ac:dyDescent="0.2">
      <c r="A137" t="str">
        <f ca="1">ORÇAMENTO!C137</f>
        <v>S</v>
      </c>
      <c r="B137">
        <f ca="1">ORÇAMENTO!D137</f>
        <v>0</v>
      </c>
      <c r="C137" s="116" t="str">
        <f t="shared" ca="1" si="61"/>
        <v>F</v>
      </c>
      <c r="D137" s="119" t="str">
        <f ca="1">ORÇAMENTO!O137</f>
        <v>8.2.10.</v>
      </c>
      <c r="E137" s="172" t="str">
        <f t="shared" si="60"/>
        <v xml:space="preserve">BARRA DE APOIO EM ALUMINIO, COMPRIMENTO 40CM, FIXADA NA PAREDE - FORNECIMENTO E INSTALAÇÃO </v>
      </c>
      <c r="F137" s="173" t="str">
        <f ca="1">IF(RegimeExecucao="Global","",ORÇAMENTO.Unidade)</f>
        <v>UN</v>
      </c>
      <c r="G137" s="124">
        <f ca="1">IF(RegimeExecucao="Global","",ORÇAMENTO!T137)</f>
        <v>14</v>
      </c>
      <c r="H137" s="124">
        <f ca="1">IF(RegimeExecucao="Global","",ORÇAMENTO!W137)</f>
        <v>356.38</v>
      </c>
      <c r="I137" s="127">
        <f ca="1">ORÇAMENTO!X137</f>
        <v>4989.32</v>
      </c>
      <c r="J137" s="378">
        <f ca="1">IF($A137="S",IF(CAIXA.Modo,BM.AFAnterior,BM.MEDAnterior),IF(AND(RegimeExecucao="Global",$I137&gt;0,COUNTIF($AB$13:$AM$13,BM.medicao-1)&gt;0),M137/$I137*100,0))</f>
        <v>0</v>
      </c>
      <c r="K137" s="124">
        <f t="shared" ca="1" si="62"/>
        <v>0</v>
      </c>
      <c r="L137" s="379">
        <f ca="1">IF($A137="S",IF(CAIXA.Modo,BM.AFAcumulado,BM.MEDAcumulado),IF(AND(RegimeExecucao="Global",$I137&gt;0,COUNTIF($AB$13:$AM$13,BM.medicao)&gt;0),O137/$I137*100,0))</f>
        <v>0</v>
      </c>
      <c r="M137" s="380">
        <f ca="1">IF($A137="S",VTOTALBM,IF($A137=0,0,ROUND(SomaAgrupBM,15-13*ORÇAMENTO!$AF$11)))</f>
        <v>0</v>
      </c>
      <c r="N137" s="381">
        <f t="shared" ca="1" si="63"/>
        <v>0</v>
      </c>
      <c r="O137" s="127">
        <f ca="1">IF($A137="S",VTOTALBM,IF($A137=0,0,ROUND(SomaAgrupBM,15-13*ORÇAMENTO!$AF$11)))</f>
        <v>0</v>
      </c>
      <c r="Q137" s="382"/>
      <c r="R137" s="383"/>
      <c r="T137" s="119" t="str">
        <f t="shared" ca="1" si="64"/>
        <v/>
      </c>
      <c r="U137" s="172" t="str">
        <f t="shared" ca="1" si="65"/>
        <v/>
      </c>
      <c r="V137" s="173" t="str">
        <f ca="1">IF(AND($W137&gt;0,RegimeExecucao="Unitário"),$F137,"")</f>
        <v/>
      </c>
      <c r="W137" s="547">
        <f ca="1">IF($Y137&gt;0,CHOOSE(MATCH(RegimeExecucao,{"Unitário","Global"},0),IF($A137="S",$Y137/$X137,""),($Y137/$X137)*100),0)</f>
        <v>0</v>
      </c>
      <c r="X137" s="384" t="str">
        <f ca="1">IF($Y137&gt;0,CHOOSE(MATCH(RegimeExecucao,{"Unitário","Global"},0),IF($A137="S",ROUND($H137,ORÇAMENTO!$AF$10),""),ROUND($I137,ORÇAMENTO!$AF$11)),"")</f>
        <v/>
      </c>
      <c r="Y137" s="384">
        <f t="shared" ca="1" si="66"/>
        <v>0</v>
      </c>
      <c r="Z137" s="572"/>
      <c r="AB137" s="382"/>
      <c r="AC137" s="516"/>
      <c r="AD137" s="516"/>
      <c r="AE137" s="516"/>
      <c r="AF137" s="516"/>
      <c r="AG137" s="516"/>
      <c r="AH137" s="516"/>
      <c r="AI137" s="516"/>
      <c r="AJ137" s="516"/>
      <c r="AK137" s="516"/>
      <c r="AL137" s="516"/>
      <c r="AM137" s="383"/>
      <c r="AO137">
        <f ca="1">IF($A137="S",IF(BM!$I137=0,0,CHOOSE(MATCH(RegimeExecucao,{"Global","Unitário"},0),ROUND(ROUND(BM.MEDAcumulado,15-13*BM!$A$9)/100*BM!$I137,15-13*ORÇAMENTO!$AF$11),ROUND(ROUND(BM.MEDAcumulado,15-13*BM!$A$9)*ROUND(BM!$H137,15-13*ORÇAMENTO!$AF$10),15-13*ORÇAMENTO!$AF$11))),IF($A137=0,0,ROUND(SomaAgrupBM,15-13*ORÇAMENTO!$AF$11)))</f>
        <v>0</v>
      </c>
    </row>
    <row r="138" spans="1:41" x14ac:dyDescent="0.2">
      <c r="A138" t="str">
        <f ca="1">ORÇAMENTO!C138</f>
        <v>S</v>
      </c>
      <c r="B138">
        <f ca="1">ORÇAMENTO!D138</f>
        <v>0</v>
      </c>
      <c r="C138" s="116" t="str">
        <f t="shared" ref="C138:C142" ca="1" si="67">IF(OR($I138&gt;0,$A138=1,$A138=2,$A138=3,$A138=4),"F","")</f>
        <v>F</v>
      </c>
      <c r="D138" s="119" t="str">
        <f ca="1">ORÇAMENTO!O138</f>
        <v>8.2.11.</v>
      </c>
      <c r="E138" s="172" t="str">
        <f t="shared" ref="E138:E143" ca="1" si="68">ORÇAMENTO.Descricao</f>
        <v>ESPELHO CRISTAL E = 4 MM</v>
      </c>
      <c r="F138" s="173" t="str">
        <f ca="1">IF(RegimeExecucao="Global","",ORÇAMENTO.Unidade)</f>
        <v>M2</v>
      </c>
      <c r="G138" s="124">
        <f ca="1">IF(RegimeExecucao="Global","",ORÇAMENTO!T138)</f>
        <v>1</v>
      </c>
      <c r="H138" s="124">
        <f ca="1">IF(RegimeExecucao="Global","",ORÇAMENTO!W138)</f>
        <v>448.5</v>
      </c>
      <c r="I138" s="127">
        <f ca="1">ORÇAMENTO!X138</f>
        <v>448.5</v>
      </c>
      <c r="J138" s="378">
        <f ca="1">IF($A138="S",IF(CAIXA.Modo,BM.AFAnterior,BM.MEDAnterior),IF(AND(RegimeExecucao="Global",$I138&gt;0,COUNTIF($AB$13:$AM$13,BM.medicao-1)&gt;0),M138/$I138*100,0))</f>
        <v>0</v>
      </c>
      <c r="K138" s="124">
        <f t="shared" ref="K138:K142" ca="1" si="69">L138-J138</f>
        <v>0</v>
      </c>
      <c r="L138" s="379">
        <f ca="1">IF($A138="S",IF(CAIXA.Modo,BM.AFAcumulado,BM.MEDAcumulado),IF(AND(RegimeExecucao="Global",$I138&gt;0,COUNTIF($AB$13:$AM$13,BM.medicao)&gt;0),O138/$I138*100,0))</f>
        <v>0</v>
      </c>
      <c r="M138" s="380">
        <f ca="1">IF($A138="S",VTOTALBM,IF($A138=0,0,ROUND(SomaAgrupBM,15-13*ORÇAMENTO!$AF$11)))</f>
        <v>0</v>
      </c>
      <c r="N138" s="381">
        <f t="shared" ref="N138:N142" ca="1" si="70">O138-M138</f>
        <v>0</v>
      </c>
      <c r="O138" s="127">
        <f ca="1">IF($A138="S",VTOTALBM,IF($A138=0,0,ROUND(SomaAgrupBM,15-13*ORÇAMENTO!$AF$11)))</f>
        <v>0</v>
      </c>
      <c r="Q138" s="382"/>
      <c r="R138" s="383"/>
      <c r="T138" s="119" t="str">
        <f t="shared" ref="T138:T142" ca="1" si="71">IF($W138&gt;0,$D138,"")</f>
        <v/>
      </c>
      <c r="U138" s="172" t="str">
        <f t="shared" ref="U138:U142" ca="1" si="72">IF($W138&gt;0,$E138,"")</f>
        <v/>
      </c>
      <c r="V138" s="173" t="str">
        <f ca="1">IF(AND($W138&gt;0,RegimeExecucao="Unitário"),$F138,"")</f>
        <v/>
      </c>
      <c r="W138" s="547">
        <f ca="1">IF($Y138&gt;0,CHOOSE(MATCH(RegimeExecucao,{"Unitário","Global"},0),IF($A138="S",$Y138/$X138,""),($Y138/$X138)*100),0)</f>
        <v>0</v>
      </c>
      <c r="X138" s="384" t="str">
        <f ca="1">IF($Y138&gt;0,CHOOSE(MATCH(RegimeExecucao,{"Unitário","Global"},0),IF($A138="S",ROUND($H138,ORÇAMENTO!$AF$10),""),ROUND($I138,ORÇAMENTO!$AF$11)),"")</f>
        <v/>
      </c>
      <c r="Y138" s="384">
        <f t="shared" ref="Y138:Y142" ca="1" si="73">AO138-O138</f>
        <v>0</v>
      </c>
      <c r="Z138" s="572"/>
      <c r="AB138" s="382"/>
      <c r="AC138" s="516"/>
      <c r="AD138" s="516"/>
      <c r="AE138" s="516"/>
      <c r="AF138" s="516"/>
      <c r="AG138" s="516"/>
      <c r="AH138" s="516"/>
      <c r="AI138" s="516"/>
      <c r="AJ138" s="516"/>
      <c r="AK138" s="516"/>
      <c r="AL138" s="516"/>
      <c r="AM138" s="383"/>
      <c r="AO138">
        <f ca="1">IF($A138="S",IF(BM!$I138=0,0,CHOOSE(MATCH(RegimeExecucao,{"Global","Unitário"},0),ROUND(ROUND(BM.MEDAcumulado,15-13*BM!$A$9)/100*BM!$I138,15-13*ORÇAMENTO!$AF$11),ROUND(ROUND(BM.MEDAcumulado,15-13*BM!$A$9)*ROUND(BM!$H138,15-13*ORÇAMENTO!$AF$10),15-13*ORÇAMENTO!$AF$11))),IF($A138=0,0,ROUND(SomaAgrupBM,15-13*ORÇAMENTO!$AF$11)))</f>
        <v>0</v>
      </c>
    </row>
    <row r="139" spans="1:41" ht="25.5" x14ac:dyDescent="0.2">
      <c r="A139" t="str">
        <f ca="1">ORÇAMENTO!C139</f>
        <v>S</v>
      </c>
      <c r="B139">
        <f ca="1">ORÇAMENTO!D139</f>
        <v>0</v>
      </c>
      <c r="C139" s="116" t="str">
        <f ca="1">IF(OR($I139&gt;0,$A139=1,$A139=2,$A139=3,$A139=4),"F","")</f>
        <v>F</v>
      </c>
      <c r="D139" s="119" t="str">
        <f ca="1">ORÇAMENTO!O139</f>
        <v>8.2.12.</v>
      </c>
      <c r="E139" s="172" t="str">
        <f ca="1">ORÇAMENTO.Descricao</f>
        <v>CHUVEIRO ELÉTRICO COMUM CORPO PLÁSTICO, TIPO DUCHA - FORNECIMENTO E INSTALAÇÃO. AF_02/2026</v>
      </c>
      <c r="F139" s="173" t="str">
        <f ca="1">IF(RegimeExecucao="Global","",ORÇAMENTO.Unidade)</f>
        <v>UN</v>
      </c>
      <c r="G139" s="124">
        <f ca="1">IF(RegimeExecucao="Global","",ORÇAMENTO!T139)</f>
        <v>2</v>
      </c>
      <c r="H139" s="124">
        <f ca="1">IF(RegimeExecucao="Global","",ORÇAMENTO!W139)</f>
        <v>186.78</v>
      </c>
      <c r="I139" s="127">
        <f ca="1">ORÇAMENTO!X139</f>
        <v>373.56</v>
      </c>
      <c r="J139" s="378">
        <f ca="1">IF($A139="S",IF(CAIXA.Modo,BM.AFAnterior,BM.MEDAnterior),IF(AND(RegimeExecucao="Global",$I139&gt;0,COUNTIF($AB$13:$AM$13,BM.medicao-1)&gt;0),M139/$I139*100,0))</f>
        <v>0</v>
      </c>
      <c r="K139" s="124">
        <f ca="1">L139-J139</f>
        <v>0</v>
      </c>
      <c r="L139" s="379">
        <f ca="1">IF($A139="S",IF(CAIXA.Modo,BM.AFAcumulado,BM.MEDAcumulado),IF(AND(RegimeExecucao="Global",$I139&gt;0,COUNTIF($AB$13:$AM$13,BM.medicao)&gt;0),O139/$I139*100,0))</f>
        <v>0</v>
      </c>
      <c r="M139" s="380">
        <f ca="1">IF($A139="S",VTOTALBM,IF($A139=0,0,ROUND(SomaAgrupBM,15-13*ORÇAMENTO!$AF$11)))</f>
        <v>0</v>
      </c>
      <c r="N139" s="381">
        <f ca="1">O139-M139</f>
        <v>0</v>
      </c>
      <c r="O139" s="127">
        <f ca="1">IF($A139="S",VTOTALBM,IF($A139=0,0,ROUND(SomaAgrupBM,15-13*ORÇAMENTO!$AF$11)))</f>
        <v>0</v>
      </c>
      <c r="Q139" s="382"/>
      <c r="R139" s="383"/>
      <c r="T139" s="119" t="str">
        <f ca="1">IF($W139&gt;0,$D139,"")</f>
        <v/>
      </c>
      <c r="U139" s="172" t="str">
        <f ca="1">IF($W139&gt;0,$E139,"")</f>
        <v/>
      </c>
      <c r="V139" s="173" t="str">
        <f ca="1">IF(AND($W139&gt;0,RegimeExecucao="Unitário"),$F139,"")</f>
        <v/>
      </c>
      <c r="W139" s="547">
        <f ca="1">IF($Y139&gt;0,CHOOSE(MATCH(RegimeExecucao,{"Unitário","Global"},0),IF($A139="S",$Y139/$X139,""),($Y139/$X139)*100),0)</f>
        <v>0</v>
      </c>
      <c r="X139" s="384" t="str">
        <f ca="1">IF($Y139&gt;0,CHOOSE(MATCH(RegimeExecucao,{"Unitário","Global"},0),IF($A139="S",ROUND($H139,ORÇAMENTO!$AF$10),""),ROUND($I139,ORÇAMENTO!$AF$11)),"")</f>
        <v/>
      </c>
      <c r="Y139" s="384">
        <f ca="1">AO139-O139</f>
        <v>0</v>
      </c>
      <c r="Z139" s="572"/>
      <c r="AB139" s="382"/>
      <c r="AC139" s="516"/>
      <c r="AD139" s="516"/>
      <c r="AE139" s="516"/>
      <c r="AF139" s="516"/>
      <c r="AG139" s="516"/>
      <c r="AH139" s="516"/>
      <c r="AI139" s="516"/>
      <c r="AJ139" s="516"/>
      <c r="AK139" s="516"/>
      <c r="AL139" s="516"/>
      <c r="AM139" s="383"/>
      <c r="AO139">
        <f ca="1">IF($A139="S",IF(BM!$I139=0,0,CHOOSE(MATCH(RegimeExecucao,{"Global","Unitário"},0),ROUND(ROUND(BM.MEDAcumulado,15-13*BM!$A$9)/100*BM!$I139,15-13*ORÇAMENTO!$AF$11),ROUND(ROUND(BM.MEDAcumulado,15-13*BM!$A$9)*ROUND(BM!$H139,15-13*ORÇAMENTO!$AF$10),15-13*ORÇAMENTO!$AF$11))),IF($A139=0,0,ROUND(SomaAgrupBM,15-13*ORÇAMENTO!$AF$11)))</f>
        <v>0</v>
      </c>
    </row>
    <row r="140" spans="1:41" ht="25.5" x14ac:dyDescent="0.2">
      <c r="A140" t="str">
        <f ca="1">ORÇAMENTO!C140</f>
        <v>S</v>
      </c>
      <c r="B140">
        <f ca="1">ORÇAMENTO!D140</f>
        <v>0</v>
      </c>
      <c r="C140" s="116" t="str">
        <f t="shared" ref="C140:C141" ca="1" si="74">IF(OR($I140&gt;0,$A140=1,$A140=2,$A140=3,$A140=4),"F","")</f>
        <v>F</v>
      </c>
      <c r="D140" s="119" t="str">
        <f ca="1">ORÇAMENTO!O140</f>
        <v>8.2.13.</v>
      </c>
      <c r="E140" s="172" t="str">
        <f ca="1">ORÇAMENTO.Descricao</f>
        <v>BANCO ARTICULADO, EM AÇO INOX, PARA PCD, FIXADO NA PAREDE - FORNECIMENTO E INSTALAÇÃO. AF_02/2026</v>
      </c>
      <c r="F140" s="173" t="str">
        <f ca="1">IF(RegimeExecucao="Global","",ORÇAMENTO.Unidade)</f>
        <v>UN</v>
      </c>
      <c r="G140" s="124">
        <f ca="1">IF(RegimeExecucao="Global","",ORÇAMENTO!T140)</f>
        <v>2</v>
      </c>
      <c r="H140" s="124">
        <f ca="1">IF(RegimeExecucao="Global","",ORÇAMENTO!W140)</f>
        <v>1325.8</v>
      </c>
      <c r="I140" s="127">
        <f ca="1">ORÇAMENTO!X140</f>
        <v>2651.6</v>
      </c>
      <c r="J140" s="378">
        <f ca="1">IF($A140="S",IF(CAIXA.Modo,BM.AFAnterior,BM.MEDAnterior),IF(AND(RegimeExecucao="Global",$I140&gt;0,COUNTIF($AB$13:$AM$13,BM.medicao-1)&gt;0),M140/$I140*100,0))</f>
        <v>0</v>
      </c>
      <c r="K140" s="124">
        <f t="shared" ref="K140:K141" ca="1" si="75">L140-J140</f>
        <v>0</v>
      </c>
      <c r="L140" s="379">
        <f ca="1">IF($A140="S",IF(CAIXA.Modo,BM.AFAcumulado,BM.MEDAcumulado),IF(AND(RegimeExecucao="Global",$I140&gt;0,COUNTIF($AB$13:$AM$13,BM.medicao)&gt;0),O140/$I140*100,0))</f>
        <v>0</v>
      </c>
      <c r="M140" s="380">
        <f ca="1">IF($A140="S",VTOTALBM,IF($A140=0,0,ROUND(SomaAgrupBM,15-13*ORÇAMENTO!$AF$11)))</f>
        <v>0</v>
      </c>
      <c r="N140" s="381">
        <f t="shared" ref="N140:N141" ca="1" si="76">O140-M140</f>
        <v>0</v>
      </c>
      <c r="O140" s="127">
        <f ca="1">IF($A140="S",VTOTALBM,IF($A140=0,0,ROUND(SomaAgrupBM,15-13*ORÇAMENTO!$AF$11)))</f>
        <v>0</v>
      </c>
      <c r="Q140" s="382"/>
      <c r="R140" s="383"/>
      <c r="T140" s="119" t="str">
        <f t="shared" ref="T140:T141" ca="1" si="77">IF($W140&gt;0,$D140,"")</f>
        <v/>
      </c>
      <c r="U140" s="172" t="str">
        <f t="shared" ref="U140:U141" ca="1" si="78">IF($W140&gt;0,$E140,"")</f>
        <v/>
      </c>
      <c r="V140" s="173" t="str">
        <f ca="1">IF(AND($W140&gt;0,RegimeExecucao="Unitário"),$F140,"")</f>
        <v/>
      </c>
      <c r="W140" s="547">
        <f ca="1">IF($Y140&gt;0,CHOOSE(MATCH(RegimeExecucao,{"Unitário","Global"},0),IF($A140="S",$Y140/$X140,""),($Y140/$X140)*100),0)</f>
        <v>0</v>
      </c>
      <c r="X140" s="384" t="str">
        <f ca="1">IF($Y140&gt;0,CHOOSE(MATCH(RegimeExecucao,{"Unitário","Global"},0),IF($A140="S",ROUND($H140,ORÇAMENTO!$AF$10),""),ROUND($I140,ORÇAMENTO!$AF$11)),"")</f>
        <v/>
      </c>
      <c r="Y140" s="384">
        <f t="shared" ref="Y140:Y141" ca="1" si="79">AO140-O140</f>
        <v>0</v>
      </c>
      <c r="Z140" s="572"/>
      <c r="AB140" s="382"/>
      <c r="AC140" s="516"/>
      <c r="AD140" s="516"/>
      <c r="AE140" s="516"/>
      <c r="AF140" s="516"/>
      <c r="AG140" s="516"/>
      <c r="AH140" s="516"/>
      <c r="AI140" s="516"/>
      <c r="AJ140" s="516"/>
      <c r="AK140" s="516"/>
      <c r="AL140" s="516"/>
      <c r="AM140" s="383"/>
      <c r="AO140">
        <f ca="1">IF($A140="S",IF(BM!$I140=0,0,CHOOSE(MATCH(RegimeExecucao,{"Global","Unitário"},0),ROUND(ROUND(BM.MEDAcumulado,15-13*BM!$A$9)/100*BM!$I140,15-13*ORÇAMENTO!$AF$11),ROUND(ROUND(BM.MEDAcumulado,15-13*BM!$A$9)*ROUND(BM!$H140,15-13*ORÇAMENTO!$AF$10),15-13*ORÇAMENTO!$AF$11))),IF($A140=0,0,ROUND(SomaAgrupBM,15-13*ORÇAMENTO!$AF$11)))</f>
        <v>0</v>
      </c>
    </row>
    <row r="141" spans="1:41" ht="25.5" x14ac:dyDescent="0.2">
      <c r="A141" t="str">
        <f ca="1">ORÇAMENTO!C141</f>
        <v>S</v>
      </c>
      <c r="B141">
        <f ca="1">ORÇAMENTO!D141</f>
        <v>0</v>
      </c>
      <c r="C141" s="116" t="str">
        <f t="shared" ca="1" si="74"/>
        <v>F</v>
      </c>
      <c r="D141" s="119" t="str">
        <f ca="1">ORÇAMENTO!O141</f>
        <v>8.2.14.</v>
      </c>
      <c r="E141" s="172" t="str">
        <f ca="1">ORÇAMENTO.Descricao</f>
        <v>BARRA DE APOIO EM "L", EM AÇO INOX POLIDO 80 X 80 CM, FIXADA NA PAREDE - FORNECIMENTO E INSTALAÇÃO. AF_02/2026</v>
      </c>
      <c r="F141" s="173" t="str">
        <f ca="1">IF(RegimeExecucao="Global","",ORÇAMENTO.Unidade)</f>
        <v>UN</v>
      </c>
      <c r="G141" s="124">
        <f ca="1">IF(RegimeExecucao="Global","",ORÇAMENTO!T141)</f>
        <v>2</v>
      </c>
      <c r="H141" s="124">
        <f ca="1">IF(RegimeExecucao="Global","",ORÇAMENTO!W141)</f>
        <v>848.78</v>
      </c>
      <c r="I141" s="127">
        <f ca="1">ORÇAMENTO!X141</f>
        <v>1697.56</v>
      </c>
      <c r="J141" s="378">
        <f ca="1">IF($A141="S",IF(CAIXA.Modo,BM.AFAnterior,BM.MEDAnterior),IF(AND(RegimeExecucao="Global",$I141&gt;0,COUNTIF($AB$13:$AM$13,BM.medicao-1)&gt;0),M141/$I141*100,0))</f>
        <v>0</v>
      </c>
      <c r="K141" s="124">
        <f t="shared" ca="1" si="75"/>
        <v>0</v>
      </c>
      <c r="L141" s="379">
        <f ca="1">IF($A141="S",IF(CAIXA.Modo,BM.AFAcumulado,BM.MEDAcumulado),IF(AND(RegimeExecucao="Global",$I141&gt;0,COUNTIF($AB$13:$AM$13,BM.medicao)&gt;0),O141/$I141*100,0))</f>
        <v>0</v>
      </c>
      <c r="M141" s="380">
        <f ca="1">IF($A141="S",VTOTALBM,IF($A141=0,0,ROUND(SomaAgrupBM,15-13*ORÇAMENTO!$AF$11)))</f>
        <v>0</v>
      </c>
      <c r="N141" s="381">
        <f t="shared" ca="1" si="76"/>
        <v>0</v>
      </c>
      <c r="O141" s="127">
        <f ca="1">IF($A141="S",VTOTALBM,IF($A141=0,0,ROUND(SomaAgrupBM,15-13*ORÇAMENTO!$AF$11)))</f>
        <v>0</v>
      </c>
      <c r="Q141" s="382"/>
      <c r="R141" s="383"/>
      <c r="T141" s="119" t="str">
        <f t="shared" ca="1" si="77"/>
        <v/>
      </c>
      <c r="U141" s="172" t="str">
        <f t="shared" ca="1" si="78"/>
        <v/>
      </c>
      <c r="V141" s="173" t="str">
        <f ca="1">IF(AND($W141&gt;0,RegimeExecucao="Unitário"),$F141,"")</f>
        <v/>
      </c>
      <c r="W141" s="547">
        <f ca="1">IF($Y141&gt;0,CHOOSE(MATCH(RegimeExecucao,{"Unitário","Global"},0),IF($A141="S",$Y141/$X141,""),($Y141/$X141)*100),0)</f>
        <v>0</v>
      </c>
      <c r="X141" s="384" t="str">
        <f ca="1">IF($Y141&gt;0,CHOOSE(MATCH(RegimeExecucao,{"Unitário","Global"},0),IF($A141="S",ROUND($H141,ORÇAMENTO!$AF$10),""),ROUND($I141,ORÇAMENTO!$AF$11)),"")</f>
        <v/>
      </c>
      <c r="Y141" s="384">
        <f t="shared" ca="1" si="79"/>
        <v>0</v>
      </c>
      <c r="Z141" s="572"/>
      <c r="AB141" s="382"/>
      <c r="AC141" s="516"/>
      <c r="AD141" s="516"/>
      <c r="AE141" s="516"/>
      <c r="AF141" s="516"/>
      <c r="AG141" s="516"/>
      <c r="AH141" s="516"/>
      <c r="AI141" s="516"/>
      <c r="AJ141" s="516"/>
      <c r="AK141" s="516"/>
      <c r="AL141" s="516"/>
      <c r="AM141" s="383"/>
      <c r="AO141">
        <f ca="1">IF($A141="S",IF(BM!$I141=0,0,CHOOSE(MATCH(RegimeExecucao,{"Global","Unitário"},0),ROUND(ROUND(BM.MEDAcumulado,15-13*BM!$A$9)/100*BM!$I141,15-13*ORÇAMENTO!$AF$11),ROUND(ROUND(BM.MEDAcumulado,15-13*BM!$A$9)*ROUND(BM!$H141,15-13*ORÇAMENTO!$AF$10),15-13*ORÇAMENTO!$AF$11))),IF($A141=0,0,ROUND(SomaAgrupBM,15-13*ORÇAMENTO!$AF$11)))</f>
        <v>0</v>
      </c>
    </row>
    <row r="142" spans="1:41" x14ac:dyDescent="0.2">
      <c r="A142">
        <f ca="1">ORÇAMENTO!C142</f>
        <v>2</v>
      </c>
      <c r="B142">
        <f ca="1">ORÇAMENTO!D142</f>
        <v>3</v>
      </c>
      <c r="C142" s="116" t="str">
        <f t="shared" ca="1" si="67"/>
        <v>F</v>
      </c>
      <c r="D142" s="119" t="str">
        <f ca="1">ORÇAMENTO!O142</f>
        <v>8.3.</v>
      </c>
      <c r="E142" s="172" t="str">
        <f t="shared" si="68"/>
        <v xml:space="preserve">MARMORARIA </v>
      </c>
      <c r="F142" s="173" t="str">
        <f ca="1">IF(RegimeExecucao="Global","",ORÇAMENTO.Unidade)</f>
        <v>-</v>
      </c>
      <c r="G142" s="124">
        <f ca="1">IF(RegimeExecucao="Global","",ORÇAMENTO!T142)</f>
        <v>0</v>
      </c>
      <c r="H142" s="124">
        <f ca="1">IF(RegimeExecucao="Global","",ORÇAMENTO!W142)</f>
        <v>0</v>
      </c>
      <c r="I142" s="127">
        <f ca="1">ORÇAMENTO!X142</f>
        <v>7325.72</v>
      </c>
      <c r="J142" s="378">
        <f ca="1">IF($A142="S",IF(CAIXA.Modo,BM.AFAnterior,BM.MEDAnterior),IF(AND(RegimeExecucao="Global",$I142&gt;0,COUNTIF($AB$13:$AM$13,BM.medicao-1)&gt;0),M142/$I142*100,0))</f>
        <v>0</v>
      </c>
      <c r="K142" s="124">
        <f t="shared" ca="1" si="69"/>
        <v>0</v>
      </c>
      <c r="L142" s="379">
        <f ca="1">IF($A142="S",IF(CAIXA.Modo,BM.AFAcumulado,BM.MEDAcumulado),IF(AND(RegimeExecucao="Global",$I142&gt;0,COUNTIF($AB$13:$AM$13,BM.medicao)&gt;0),O142/$I142*100,0))</f>
        <v>0</v>
      </c>
      <c r="M142" s="380">
        <f ca="1">IF($A142="S",VTOTALBM,IF($A142=0,0,ROUND(SomaAgrupBM,15-13*ORÇAMENTO!$AF$11)))</f>
        <v>0</v>
      </c>
      <c r="N142" s="381">
        <f t="shared" ca="1" si="70"/>
        <v>0</v>
      </c>
      <c r="O142" s="127">
        <f ca="1">IF($A142="S",VTOTALBM,IF($A142=0,0,ROUND(SomaAgrupBM,15-13*ORÇAMENTO!$AF$11)))</f>
        <v>0</v>
      </c>
      <c r="Q142" s="382"/>
      <c r="R142" s="383"/>
      <c r="T142" s="119" t="str">
        <f t="shared" ca="1" si="71"/>
        <v/>
      </c>
      <c r="U142" s="172" t="str">
        <f t="shared" ca="1" si="72"/>
        <v/>
      </c>
      <c r="V142" s="173" t="str">
        <f ca="1">IF(AND($W142&gt;0,RegimeExecucao="Unitário"),$F142,"")</f>
        <v/>
      </c>
      <c r="W142" s="547">
        <f ca="1">IF($Y142&gt;0,CHOOSE(MATCH(RegimeExecucao,{"Unitário","Global"},0),IF($A142="S",$Y142/$X142,""),($Y142/$X142)*100),0)</f>
        <v>0</v>
      </c>
      <c r="X142" s="384" t="str">
        <f ca="1">IF($Y142&gt;0,CHOOSE(MATCH(RegimeExecucao,{"Unitário","Global"},0),IF($A142="S",ROUND($H142,ORÇAMENTO!$AF$10),""),ROUND($I142,ORÇAMENTO!$AF$11)),"")</f>
        <v/>
      </c>
      <c r="Y142" s="384">
        <f t="shared" ca="1" si="73"/>
        <v>0</v>
      </c>
      <c r="Z142" s="572"/>
      <c r="AB142" s="382"/>
      <c r="AC142" s="516"/>
      <c r="AD142" s="516"/>
      <c r="AE142" s="516"/>
      <c r="AF142" s="516"/>
      <c r="AG142" s="516"/>
      <c r="AH142" s="516"/>
      <c r="AI142" s="516"/>
      <c r="AJ142" s="516"/>
      <c r="AK142" s="516"/>
      <c r="AL142" s="516"/>
      <c r="AM142" s="383"/>
      <c r="AO142">
        <f ca="1">IF($A142="S",IF(BM!$I142=0,0,CHOOSE(MATCH(RegimeExecucao,{"Global","Unitário"},0),ROUND(ROUND(BM.MEDAcumulado,15-13*BM!$A$9)/100*BM!$I142,15-13*ORÇAMENTO!$AF$11),ROUND(ROUND(BM.MEDAcumulado,15-13*BM!$A$9)*ROUND(BM!$H142,15-13*ORÇAMENTO!$AF$10),15-13*ORÇAMENTO!$AF$11))),IF($A142=0,0,ROUND(SomaAgrupBM,15-13*ORÇAMENTO!$AF$11)))</f>
        <v>0</v>
      </c>
    </row>
    <row r="143" spans="1:41" ht="63.75" x14ac:dyDescent="0.2">
      <c r="A143" t="str">
        <f ca="1">ORÇAMENTO!C143</f>
        <v>S</v>
      </c>
      <c r="B143">
        <f ca="1">ORÇAMENTO!D143</f>
        <v>0</v>
      </c>
      <c r="C143" s="116" t="str">
        <f ca="1">IF(OR($I143&gt;0,$A143=1,$A143=2,$A143=3,$A143=4),"F","")</f>
        <v>F</v>
      </c>
      <c r="D143" s="119" t="str">
        <f ca="1">ORÇAMENTO!O143</f>
        <v>8.3.1.</v>
      </c>
      <c r="E143" s="172" t="str">
        <f t="shared" ca="1" si="68"/>
        <v>BANCADA GRANITO CINZA 150 X 60 CM, COM CUBA DE EMBUTIR DE AÇO, VÁLVULA AMERICANA EM METAL, SIFÃO FLEXÍVEL EM PVC, ENGATE FLEXÍVEL 30 CM, TORNEIRA CROMADA LONGA, DE PAREDE, 1/2" OU 3/4", P/ COZINHA, PADRÃO POPULAR - FORNEC. E INSTALAÇÃO. AF_02/2026</v>
      </c>
      <c r="F143" s="173" t="str">
        <f ca="1">IF(RegimeExecucao="Global","",ORÇAMENTO.Unidade)</f>
        <v>UN</v>
      </c>
      <c r="G143" s="124">
        <f ca="1">IF(RegimeExecucao="Global","",ORÇAMENTO!T143)</f>
        <v>3</v>
      </c>
      <c r="H143" s="124">
        <f ca="1">IF(RegimeExecucao="Global","",ORÇAMENTO!W143)</f>
        <v>1954.33</v>
      </c>
      <c r="I143" s="127">
        <f ca="1">ORÇAMENTO!X143</f>
        <v>5862.99</v>
      </c>
      <c r="J143" s="378">
        <f ca="1">IF($A143="S",IF(CAIXA.Modo,BM.AFAnterior,BM.MEDAnterior),IF(AND(RegimeExecucao="Global",$I143&gt;0,COUNTIF($AB$13:$AM$13,BM.medicao-1)&gt;0),M143/$I143*100,0))</f>
        <v>0</v>
      </c>
      <c r="K143" s="124">
        <f ca="1">L143-J143</f>
        <v>0</v>
      </c>
      <c r="L143" s="379">
        <f ca="1">IF($A143="S",IF(CAIXA.Modo,BM.AFAcumulado,BM.MEDAcumulado),IF(AND(RegimeExecucao="Global",$I143&gt;0,COUNTIF($AB$13:$AM$13,BM.medicao)&gt;0),O143/$I143*100,0))</f>
        <v>0</v>
      </c>
      <c r="M143" s="380">
        <f ca="1">IF($A143="S",VTOTALBM,IF($A143=0,0,ROUND(SomaAgrupBM,15-13*ORÇAMENTO!$AF$11)))</f>
        <v>0</v>
      </c>
      <c r="N143" s="381">
        <f ca="1">O143-M143</f>
        <v>0</v>
      </c>
      <c r="O143" s="127">
        <f ca="1">IF($A143="S",VTOTALBM,IF($A143=0,0,ROUND(SomaAgrupBM,15-13*ORÇAMENTO!$AF$11)))</f>
        <v>0</v>
      </c>
      <c r="Q143" s="382"/>
      <c r="R143" s="383"/>
      <c r="T143" s="119" t="str">
        <f ca="1">IF($W143&gt;0,$D143,"")</f>
        <v/>
      </c>
      <c r="U143" s="172" t="str">
        <f ca="1">IF($W143&gt;0,$E143,"")</f>
        <v/>
      </c>
      <c r="V143" s="173" t="str">
        <f ca="1">IF(AND($W143&gt;0,RegimeExecucao="Unitário"),$F143,"")</f>
        <v/>
      </c>
      <c r="W143" s="547">
        <f ca="1">IF($Y143&gt;0,CHOOSE(MATCH(RegimeExecucao,{"Unitário","Global"},0),IF($A143="S",$Y143/$X143,""),($Y143/$X143)*100),0)</f>
        <v>0</v>
      </c>
      <c r="X143" s="384" t="str">
        <f ca="1">IF($Y143&gt;0,CHOOSE(MATCH(RegimeExecucao,{"Unitário","Global"},0),IF($A143="S",ROUND($H143,ORÇAMENTO!$AF$10),""),ROUND($I143,ORÇAMENTO!$AF$11)),"")</f>
        <v/>
      </c>
      <c r="Y143" s="384">
        <f ca="1">AO143-O143</f>
        <v>0</v>
      </c>
      <c r="Z143" s="572"/>
      <c r="AB143" s="382"/>
      <c r="AC143" s="516"/>
      <c r="AD143" s="516"/>
      <c r="AE143" s="516"/>
      <c r="AF143" s="516"/>
      <c r="AG143" s="516"/>
      <c r="AH143" s="516"/>
      <c r="AI143" s="516"/>
      <c r="AJ143" s="516"/>
      <c r="AK143" s="516"/>
      <c r="AL143" s="516"/>
      <c r="AM143" s="383"/>
      <c r="AO143">
        <f ca="1">IF($A143="S",IF(BM!$I143=0,0,CHOOSE(MATCH(RegimeExecucao,{"Global","Unitário"},0),ROUND(ROUND(BM.MEDAcumulado,15-13*BM!$A$9)/100*BM!$I143,15-13*ORÇAMENTO!$AF$11),ROUND(ROUND(BM.MEDAcumulado,15-13*BM!$A$9)*ROUND(BM!$H143,15-13*ORÇAMENTO!$AF$10),15-13*ORÇAMENTO!$AF$11))),IF($A143=0,0,ROUND(SomaAgrupBM,15-13*ORÇAMENTO!$AF$11)))</f>
        <v>0</v>
      </c>
    </row>
    <row r="144" spans="1:41" ht="25.5" x14ac:dyDescent="0.2">
      <c r="A144" t="str">
        <f ca="1">ORÇAMENTO!C144</f>
        <v>S</v>
      </c>
      <c r="B144">
        <f ca="1">ORÇAMENTO!D144</f>
        <v>0</v>
      </c>
      <c r="C144" s="116" t="str">
        <f ca="1">IF(OR($I144&gt;0,$A144=1,$A144=2,$A144=3,$A144=4),"F","")</f>
        <v>F</v>
      </c>
      <c r="D144" s="119" t="str">
        <f ca="1">ORÇAMENTO!O144</f>
        <v>8.3.2.</v>
      </c>
      <c r="E144" s="172" t="str">
        <f ca="1">ORÇAMENTO.Descricao</f>
        <v>SOLEIRA/ PEITORIL EM MARMORE, POLIDO, BRANCO COMUM, L= *15* CM, E= *2* CM, CORTE RETO</v>
      </c>
      <c r="F144" s="173" t="str">
        <f ca="1">IF(RegimeExecucao="Global","",ORÇAMENTO.Unidade)</f>
        <v>M</v>
      </c>
      <c r="G144" s="124">
        <f ca="1">IF(RegimeExecucao="Global","",ORÇAMENTO!T144)</f>
        <v>11.4</v>
      </c>
      <c r="H144" s="124">
        <f ca="1">IF(RegimeExecucao="Global","",ORÇAMENTO!W144)</f>
        <v>128.31</v>
      </c>
      <c r="I144" s="127">
        <f ca="1">ORÇAMENTO!X144</f>
        <v>1462.73</v>
      </c>
      <c r="J144" s="378">
        <f ca="1">IF($A144="S",IF(CAIXA.Modo,BM.AFAnterior,BM.MEDAnterior),IF(AND(RegimeExecucao="Global",$I144&gt;0,COUNTIF($AB$13:$AM$13,BM.medicao-1)&gt;0),M144/$I144*100,0))</f>
        <v>0</v>
      </c>
      <c r="K144" s="124">
        <f ca="1">L144-J144</f>
        <v>0</v>
      </c>
      <c r="L144" s="379">
        <f ca="1">IF($A144="S",IF(CAIXA.Modo,BM.AFAcumulado,BM.MEDAcumulado),IF(AND(RegimeExecucao="Global",$I144&gt;0,COUNTIF($AB$13:$AM$13,BM.medicao)&gt;0),O144/$I144*100,0))</f>
        <v>0</v>
      </c>
      <c r="M144" s="380">
        <f ca="1">IF($A144="S",VTOTALBM,IF($A144=0,0,ROUND(SomaAgrupBM,15-13*ORÇAMENTO!$AF$11)))</f>
        <v>0</v>
      </c>
      <c r="N144" s="381">
        <f ca="1">O144-M144</f>
        <v>0</v>
      </c>
      <c r="O144" s="127">
        <f ca="1">IF($A144="S",VTOTALBM,IF($A144=0,0,ROUND(SomaAgrupBM,15-13*ORÇAMENTO!$AF$11)))</f>
        <v>0</v>
      </c>
      <c r="Q144" s="382"/>
      <c r="R144" s="383"/>
      <c r="T144" s="119" t="str">
        <f ca="1">IF($W144&gt;0,$D144,"")</f>
        <v/>
      </c>
      <c r="U144" s="172" t="str">
        <f ca="1">IF($W144&gt;0,$E144,"")</f>
        <v/>
      </c>
      <c r="V144" s="173" t="str">
        <f ca="1">IF(AND($W144&gt;0,RegimeExecucao="Unitário"),$F144,"")</f>
        <v/>
      </c>
      <c r="W144" s="547">
        <f ca="1">IF($Y144&gt;0,CHOOSE(MATCH(RegimeExecucao,{"Unitário","Global"},0),IF($A144="S",$Y144/$X144,""),($Y144/$X144)*100),0)</f>
        <v>0</v>
      </c>
      <c r="X144" s="384" t="str">
        <f ca="1">IF($Y144&gt;0,CHOOSE(MATCH(RegimeExecucao,{"Unitário","Global"},0),IF($A144="S",ROUND($H144,ORÇAMENTO!$AF$10),""),ROUND($I144,ORÇAMENTO!$AF$11)),"")</f>
        <v/>
      </c>
      <c r="Y144" s="384">
        <f ca="1">AO144-O144</f>
        <v>0</v>
      </c>
      <c r="Z144" s="572"/>
      <c r="AB144" s="382"/>
      <c r="AC144" s="516"/>
      <c r="AD144" s="516"/>
      <c r="AE144" s="516"/>
      <c r="AF144" s="516"/>
      <c r="AG144" s="516"/>
      <c r="AH144" s="516"/>
      <c r="AI144" s="516"/>
      <c r="AJ144" s="516"/>
      <c r="AK144" s="516"/>
      <c r="AL144" s="516"/>
      <c r="AM144" s="383"/>
      <c r="AO144">
        <f ca="1">IF($A144="S",IF(BM!$I144=0,0,CHOOSE(MATCH(RegimeExecucao,{"Global","Unitário"},0),ROUND(ROUND(BM.MEDAcumulado,15-13*BM!$A$9)/100*BM!$I144,15-13*ORÇAMENTO!$AF$11),ROUND(ROUND(BM.MEDAcumulado,15-13*BM!$A$9)*ROUND(BM!$H144,15-13*ORÇAMENTO!$AF$10),15-13*ORÇAMENTO!$AF$11))),IF($A144=0,0,ROUND(SomaAgrupBM,15-13*ORÇAMENTO!$AF$11)))</f>
        <v>0</v>
      </c>
    </row>
    <row r="145" spans="1:41" x14ac:dyDescent="0.2">
      <c r="A145">
        <f ca="1">ORÇAMENTO!C145</f>
        <v>1</v>
      </c>
      <c r="B145">
        <f ca="1">ORÇAMENTO!D145</f>
        <v>5</v>
      </c>
      <c r="C145" s="116" t="str">
        <f ca="1">IF(OR($I145&gt;0,$A145=1,$A145=2,$A145=3,$A145=4),"F","")</f>
        <v>F</v>
      </c>
      <c r="D145" s="119" t="str">
        <f ca="1">ORÇAMENTO!O145</f>
        <v>9.</v>
      </c>
      <c r="E145" s="172" t="str">
        <f>ORÇAMENTO.Descricao</f>
        <v>INCENDIO</v>
      </c>
      <c r="F145" s="173" t="str">
        <f ca="1">IF(RegimeExecucao="Global","",ORÇAMENTO.Unidade)</f>
        <v>-</v>
      </c>
      <c r="G145" s="124">
        <f ca="1">IF(RegimeExecucao="Global","",ORÇAMENTO!T145)</f>
        <v>0</v>
      </c>
      <c r="H145" s="124">
        <f ca="1">IF(RegimeExecucao="Global","",ORÇAMENTO!W145)</f>
        <v>0</v>
      </c>
      <c r="I145" s="127">
        <f ca="1">ORÇAMENTO!X145</f>
        <v>651.79999999999995</v>
      </c>
      <c r="J145" s="378">
        <f ca="1">IF($A145="S",IF(CAIXA.Modo,BM.AFAnterior,BM.MEDAnterior),IF(AND(RegimeExecucao="Global",$I145&gt;0,COUNTIF($AB$13:$AM$13,BM.medicao-1)&gt;0),M145/$I145*100,0))</f>
        <v>0</v>
      </c>
      <c r="K145" s="124">
        <f ca="1">L145-J145</f>
        <v>0</v>
      </c>
      <c r="L145" s="379">
        <f ca="1">IF($A145="S",IF(CAIXA.Modo,BM.AFAcumulado,BM.MEDAcumulado),IF(AND(RegimeExecucao="Global",$I145&gt;0,COUNTIF($AB$13:$AM$13,BM.medicao)&gt;0),O145/$I145*100,0))</f>
        <v>0</v>
      </c>
      <c r="M145" s="380">
        <f ca="1">IF($A145="S",VTOTALBM,IF($A145=0,0,ROUND(SomaAgrupBM,15-13*ORÇAMENTO!$AF$11)))</f>
        <v>0</v>
      </c>
      <c r="N145" s="381">
        <f ca="1">O145-M145</f>
        <v>0</v>
      </c>
      <c r="O145" s="127">
        <f ca="1">IF($A145="S",VTOTALBM,IF($A145=0,0,ROUND(SomaAgrupBM,15-13*ORÇAMENTO!$AF$11)))</f>
        <v>0</v>
      </c>
      <c r="Q145" s="382"/>
      <c r="R145" s="383"/>
      <c r="T145" s="119" t="str">
        <f ca="1">IF($W145&gt;0,$D145,"")</f>
        <v/>
      </c>
      <c r="U145" s="172" t="str">
        <f ca="1">IF($W145&gt;0,$E145,"")</f>
        <v/>
      </c>
      <c r="V145" s="173" t="str">
        <f ca="1">IF(AND($W145&gt;0,RegimeExecucao="Unitário"),$F145,"")</f>
        <v/>
      </c>
      <c r="W145" s="547">
        <f ca="1">IF($Y145&gt;0,CHOOSE(MATCH(RegimeExecucao,{"Unitário","Global"},0),IF($A145="S",$Y145/$X145,""),($Y145/$X145)*100),0)</f>
        <v>0</v>
      </c>
      <c r="X145" s="384" t="str">
        <f ca="1">IF($Y145&gt;0,CHOOSE(MATCH(RegimeExecucao,{"Unitário","Global"},0),IF($A145="S",ROUND($H145,ORÇAMENTO!$AF$10),""),ROUND($I145,ORÇAMENTO!$AF$11)),"")</f>
        <v/>
      </c>
      <c r="Y145" s="384">
        <f ca="1">AO145-O145</f>
        <v>0</v>
      </c>
      <c r="Z145" s="572"/>
      <c r="AB145" s="382"/>
      <c r="AC145" s="516"/>
      <c r="AD145" s="516"/>
      <c r="AE145" s="516"/>
      <c r="AF145" s="516"/>
      <c r="AG145" s="516"/>
      <c r="AH145" s="516"/>
      <c r="AI145" s="516"/>
      <c r="AJ145" s="516"/>
      <c r="AK145" s="516"/>
      <c r="AL145" s="516"/>
      <c r="AM145" s="383"/>
      <c r="AO145">
        <f ca="1">IF($A145="S",IF(BM!$I145=0,0,CHOOSE(MATCH(RegimeExecucao,{"Global","Unitário"},0),ROUND(ROUND(BM.MEDAcumulado,15-13*BM!$A$9)/100*BM!$I145,15-13*ORÇAMENTO!$AF$11),ROUND(ROUND(BM.MEDAcumulado,15-13*BM!$A$9)*ROUND(BM!$H145,15-13*ORÇAMENTO!$AF$10),15-13*ORÇAMENTO!$AF$11))),IF($A145=0,0,ROUND(SomaAgrupBM,15-13*ORÇAMENTO!$AF$11)))</f>
        <v>0</v>
      </c>
    </row>
    <row r="146" spans="1:41" x14ac:dyDescent="0.2">
      <c r="A146">
        <f ca="1">ORÇAMENTO!C146</f>
        <v>2</v>
      </c>
      <c r="B146">
        <f ca="1">ORÇAMENTO!D146</f>
        <v>4</v>
      </c>
      <c r="C146" s="116" t="str">
        <f t="shared" ca="1" si="61"/>
        <v>F</v>
      </c>
      <c r="D146" s="119" t="str">
        <f ca="1">ORÇAMENTO!O146</f>
        <v>9.1.</v>
      </c>
      <c r="E146" s="172" t="str">
        <f t="shared" si="60"/>
        <v>PREVENTIVO DE INCENDIO</v>
      </c>
      <c r="F146" s="173" t="str">
        <f ca="1">IF(RegimeExecucao="Global","",ORÇAMENTO.Unidade)</f>
        <v>-</v>
      </c>
      <c r="G146" s="124">
        <f ca="1">IF(RegimeExecucao="Global","",ORÇAMENTO!T146)</f>
        <v>0</v>
      </c>
      <c r="H146" s="124">
        <f ca="1">IF(RegimeExecucao="Global","",ORÇAMENTO!W146)</f>
        <v>0</v>
      </c>
      <c r="I146" s="127">
        <f ca="1">ORÇAMENTO!X146</f>
        <v>651.79999999999995</v>
      </c>
      <c r="J146" s="378">
        <f ca="1">IF($A146="S",IF(CAIXA.Modo,BM.AFAnterior,BM.MEDAnterior),IF(AND(RegimeExecucao="Global",$I146&gt;0,COUNTIF($AB$13:$AM$13,BM.medicao-1)&gt;0),M146/$I146*100,0))</f>
        <v>0</v>
      </c>
      <c r="K146" s="124">
        <f t="shared" ca="1" si="62"/>
        <v>0</v>
      </c>
      <c r="L146" s="379">
        <f ca="1">IF($A146="S",IF(CAIXA.Modo,BM.AFAcumulado,BM.MEDAcumulado),IF(AND(RegimeExecucao="Global",$I146&gt;0,COUNTIF($AB$13:$AM$13,BM.medicao)&gt;0),O146/$I146*100,0))</f>
        <v>0</v>
      </c>
      <c r="M146" s="380">
        <f ca="1">IF($A146="S",VTOTALBM,IF($A146=0,0,ROUND(SomaAgrupBM,15-13*ORÇAMENTO!$AF$11)))</f>
        <v>0</v>
      </c>
      <c r="N146" s="381">
        <f t="shared" ca="1" si="63"/>
        <v>0</v>
      </c>
      <c r="O146" s="127">
        <f ca="1">IF($A146="S",VTOTALBM,IF($A146=0,0,ROUND(SomaAgrupBM,15-13*ORÇAMENTO!$AF$11)))</f>
        <v>0</v>
      </c>
      <c r="Q146" s="382"/>
      <c r="R146" s="383"/>
      <c r="T146" s="119" t="str">
        <f t="shared" ca="1" si="64"/>
        <v/>
      </c>
      <c r="U146" s="172" t="str">
        <f t="shared" ca="1" si="65"/>
        <v/>
      </c>
      <c r="V146" s="173" t="str">
        <f ca="1">IF(AND($W146&gt;0,RegimeExecucao="Unitário"),$F146,"")</f>
        <v/>
      </c>
      <c r="W146" s="547">
        <f ca="1">IF($Y146&gt;0,CHOOSE(MATCH(RegimeExecucao,{"Unitário","Global"},0),IF($A146="S",$Y146/$X146,""),($Y146/$X146)*100),0)</f>
        <v>0</v>
      </c>
      <c r="X146" s="384" t="str">
        <f ca="1">IF($Y146&gt;0,CHOOSE(MATCH(RegimeExecucao,{"Unitário","Global"},0),IF($A146="S",ROUND($H146,ORÇAMENTO!$AF$10),""),ROUND($I146,ORÇAMENTO!$AF$11)),"")</f>
        <v/>
      </c>
      <c r="Y146" s="384">
        <f t="shared" ca="1" si="66"/>
        <v>0</v>
      </c>
      <c r="Z146" s="572"/>
      <c r="AB146" s="382"/>
      <c r="AC146" s="516"/>
      <c r="AD146" s="516"/>
      <c r="AE146" s="516"/>
      <c r="AF146" s="516"/>
      <c r="AG146" s="516"/>
      <c r="AH146" s="516"/>
      <c r="AI146" s="516"/>
      <c r="AJ146" s="516"/>
      <c r="AK146" s="516"/>
      <c r="AL146" s="516"/>
      <c r="AM146" s="383"/>
      <c r="AO146">
        <f ca="1">IF($A146="S",IF(BM!$I146=0,0,CHOOSE(MATCH(RegimeExecucao,{"Global","Unitário"},0),ROUND(ROUND(BM.MEDAcumulado,15-13*BM!$A$9)/100*BM!$I146,15-13*ORÇAMENTO!$AF$11),ROUND(ROUND(BM.MEDAcumulado,15-13*BM!$A$9)*ROUND(BM!$H146,15-13*ORÇAMENTO!$AF$10),15-13*ORÇAMENTO!$AF$11))),IF($A146=0,0,ROUND(SomaAgrupBM,15-13*ORÇAMENTO!$AF$11)))</f>
        <v>0</v>
      </c>
    </row>
    <row r="147" spans="1:41" ht="51" x14ac:dyDescent="0.2">
      <c r="A147" t="str">
        <f ca="1">ORÇAMENTO!C147</f>
        <v>S</v>
      </c>
      <c r="B147">
        <f ca="1">ORÇAMENTO!D147</f>
        <v>0</v>
      </c>
      <c r="C147" s="116" t="str">
        <f t="shared" ca="1" si="61"/>
        <v>F</v>
      </c>
      <c r="D147" s="119" t="str">
        <f ca="1">ORÇAMENTO!O147</f>
        <v>9.1.1.</v>
      </c>
      <c r="E147" s="172" t="str">
        <f t="shared" ca="1" si="60"/>
        <v>PLACA DE SINALIZACAO DE SEGURANCA CONTRA INCENDIO, FOTOLUMINESCENTE, RETANGULAR, *13 X 26* CM, EM PVC *2* MM ANTI-CHAMAS (SIMBOLOS, CORES E PICTOGRAMAS CONFORME NBR 16820)</v>
      </c>
      <c r="F147" s="173" t="str">
        <f ca="1">IF(RegimeExecucao="Global","",ORÇAMENTO.Unidade)</f>
        <v>UN</v>
      </c>
      <c r="G147" s="124">
        <f ca="1">IF(RegimeExecucao="Global","",ORÇAMENTO!T147)</f>
        <v>4</v>
      </c>
      <c r="H147" s="124">
        <f ca="1">IF(RegimeExecucao="Global","",ORÇAMENTO!W147)</f>
        <v>24.07</v>
      </c>
      <c r="I147" s="127">
        <f ca="1">ORÇAMENTO!X147</f>
        <v>96.28</v>
      </c>
      <c r="J147" s="378">
        <f ca="1">IF($A147="S",IF(CAIXA.Modo,BM.AFAnterior,BM.MEDAnterior),IF(AND(RegimeExecucao="Global",$I147&gt;0,COUNTIF($AB$13:$AM$13,BM.medicao-1)&gt;0),M147/$I147*100,0))</f>
        <v>0</v>
      </c>
      <c r="K147" s="124">
        <f t="shared" ca="1" si="62"/>
        <v>0</v>
      </c>
      <c r="L147" s="379">
        <f ca="1">IF($A147="S",IF(CAIXA.Modo,BM.AFAcumulado,BM.MEDAcumulado),IF(AND(RegimeExecucao="Global",$I147&gt;0,COUNTIF($AB$13:$AM$13,BM.medicao)&gt;0),O147/$I147*100,0))</f>
        <v>0</v>
      </c>
      <c r="M147" s="380">
        <f ca="1">IF($A147="S",VTOTALBM,IF($A147=0,0,ROUND(SomaAgrupBM,15-13*ORÇAMENTO!$AF$11)))</f>
        <v>0</v>
      </c>
      <c r="N147" s="381">
        <f t="shared" ca="1" si="63"/>
        <v>0</v>
      </c>
      <c r="O147" s="127">
        <f ca="1">IF($A147="S",VTOTALBM,IF($A147=0,0,ROUND(SomaAgrupBM,15-13*ORÇAMENTO!$AF$11)))</f>
        <v>0</v>
      </c>
      <c r="Q147" s="382"/>
      <c r="R147" s="383"/>
      <c r="T147" s="119" t="str">
        <f t="shared" ca="1" si="64"/>
        <v/>
      </c>
      <c r="U147" s="172" t="str">
        <f t="shared" ca="1" si="65"/>
        <v/>
      </c>
      <c r="V147" s="173" t="str">
        <f ca="1">IF(AND($W147&gt;0,RegimeExecucao="Unitário"),$F147,"")</f>
        <v/>
      </c>
      <c r="W147" s="547">
        <f ca="1">IF($Y147&gt;0,CHOOSE(MATCH(RegimeExecucao,{"Unitário","Global"},0),IF($A147="S",$Y147/$X147,""),($Y147/$X147)*100),0)</f>
        <v>0</v>
      </c>
      <c r="X147" s="384" t="str">
        <f ca="1">IF($Y147&gt;0,CHOOSE(MATCH(RegimeExecucao,{"Unitário","Global"},0),IF($A147="S",ROUND($H147,ORÇAMENTO!$AF$10),""),ROUND($I147,ORÇAMENTO!$AF$11)),"")</f>
        <v/>
      </c>
      <c r="Y147" s="384">
        <f t="shared" ca="1" si="66"/>
        <v>0</v>
      </c>
      <c r="Z147" s="572"/>
      <c r="AB147" s="382"/>
      <c r="AC147" s="516"/>
      <c r="AD147" s="516"/>
      <c r="AE147" s="516"/>
      <c r="AF147" s="516"/>
      <c r="AG147" s="516"/>
      <c r="AH147" s="516"/>
      <c r="AI147" s="516"/>
      <c r="AJ147" s="516"/>
      <c r="AK147" s="516"/>
      <c r="AL147" s="516"/>
      <c r="AM147" s="383"/>
      <c r="AO147">
        <f ca="1">IF($A147="S",IF(BM!$I147=0,0,CHOOSE(MATCH(RegimeExecucao,{"Global","Unitário"},0),ROUND(ROUND(BM.MEDAcumulado,15-13*BM!$A$9)/100*BM!$I147,15-13*ORÇAMENTO!$AF$11),ROUND(ROUND(BM.MEDAcumulado,15-13*BM!$A$9)*ROUND(BM!$H147,15-13*ORÇAMENTO!$AF$10),15-13*ORÇAMENTO!$AF$11))),IF($A147=0,0,ROUND(SomaAgrupBM,15-13*ORÇAMENTO!$AF$11)))</f>
        <v>0</v>
      </c>
    </row>
    <row r="148" spans="1:41" ht="25.5" x14ac:dyDescent="0.2">
      <c r="A148" t="str">
        <f ca="1">ORÇAMENTO!C148</f>
        <v>S</v>
      </c>
      <c r="B148">
        <f ca="1">ORÇAMENTO!D148</f>
        <v>0</v>
      </c>
      <c r="C148" s="116" t="str">
        <f t="shared" ca="1" si="61"/>
        <v>F</v>
      </c>
      <c r="D148" s="119" t="str">
        <f ca="1">ORÇAMENTO!O148</f>
        <v>9.1.2.</v>
      </c>
      <c r="E148" s="172" t="str">
        <f t="shared" ca="1" si="60"/>
        <v>EXTINTOR DE INCENDIO PORTATIL COM CARGA DE PO QUIMICO SECO (PQS) DE 4 KG, CLASSE BC</v>
      </c>
      <c r="F148" s="173" t="str">
        <f ca="1">IF(RegimeExecucao="Global","",ORÇAMENTO.Unidade)</f>
        <v>UN</v>
      </c>
      <c r="G148" s="124">
        <f ca="1">IF(RegimeExecucao="Global","",ORÇAMENTO!T148)</f>
        <v>2</v>
      </c>
      <c r="H148" s="124">
        <f ca="1">IF(RegimeExecucao="Global","",ORÇAMENTO!W148)</f>
        <v>230.15</v>
      </c>
      <c r="I148" s="127">
        <f ca="1">ORÇAMENTO!X148</f>
        <v>460.3</v>
      </c>
      <c r="J148" s="378">
        <f ca="1">IF($A148="S",IF(CAIXA.Modo,BM.AFAnterior,BM.MEDAnterior),IF(AND(RegimeExecucao="Global",$I148&gt;0,COUNTIF($AB$13:$AM$13,BM.medicao-1)&gt;0),M148/$I148*100,0))</f>
        <v>0</v>
      </c>
      <c r="K148" s="124">
        <f t="shared" ca="1" si="62"/>
        <v>0</v>
      </c>
      <c r="L148" s="379">
        <f ca="1">IF($A148="S",IF(CAIXA.Modo,BM.AFAcumulado,BM.MEDAcumulado),IF(AND(RegimeExecucao="Global",$I148&gt;0,COUNTIF($AB$13:$AM$13,BM.medicao)&gt;0),O148/$I148*100,0))</f>
        <v>0</v>
      </c>
      <c r="M148" s="380">
        <f ca="1">IF($A148="S",VTOTALBM,IF($A148=0,0,ROUND(SomaAgrupBM,15-13*ORÇAMENTO!$AF$11)))</f>
        <v>0</v>
      </c>
      <c r="N148" s="381">
        <f t="shared" ca="1" si="63"/>
        <v>0</v>
      </c>
      <c r="O148" s="127">
        <f ca="1">IF($A148="S",VTOTALBM,IF($A148=0,0,ROUND(SomaAgrupBM,15-13*ORÇAMENTO!$AF$11)))</f>
        <v>0</v>
      </c>
      <c r="Q148" s="382"/>
      <c r="R148" s="383"/>
      <c r="T148" s="119" t="str">
        <f t="shared" ca="1" si="64"/>
        <v/>
      </c>
      <c r="U148" s="172" t="str">
        <f t="shared" ca="1" si="65"/>
        <v/>
      </c>
      <c r="V148" s="173" t="str">
        <f ca="1">IF(AND($W148&gt;0,RegimeExecucao="Unitário"),$F148,"")</f>
        <v/>
      </c>
      <c r="W148" s="547">
        <f ca="1">IF($Y148&gt;0,CHOOSE(MATCH(RegimeExecucao,{"Unitário","Global"},0),IF($A148="S",$Y148/$X148,""),($Y148/$X148)*100),0)</f>
        <v>0</v>
      </c>
      <c r="X148" s="384" t="str">
        <f ca="1">IF($Y148&gt;0,CHOOSE(MATCH(RegimeExecucao,{"Unitário","Global"},0),IF($A148="S",ROUND($H148,ORÇAMENTO!$AF$10),""),ROUND($I148,ORÇAMENTO!$AF$11)),"")</f>
        <v/>
      </c>
      <c r="Y148" s="384">
        <f t="shared" ca="1" si="66"/>
        <v>0</v>
      </c>
      <c r="Z148" s="572"/>
      <c r="AB148" s="382"/>
      <c r="AC148" s="516"/>
      <c r="AD148" s="516"/>
      <c r="AE148" s="516"/>
      <c r="AF148" s="516"/>
      <c r="AG148" s="516"/>
      <c r="AH148" s="516"/>
      <c r="AI148" s="516"/>
      <c r="AJ148" s="516"/>
      <c r="AK148" s="516"/>
      <c r="AL148" s="516"/>
      <c r="AM148" s="383"/>
      <c r="AO148">
        <f ca="1">IF($A148="S",IF(BM!$I148=0,0,CHOOSE(MATCH(RegimeExecucao,{"Global","Unitário"},0),ROUND(ROUND(BM.MEDAcumulado,15-13*BM!$A$9)/100*BM!$I148,15-13*ORÇAMENTO!$AF$11),ROUND(ROUND(BM.MEDAcumulado,15-13*BM!$A$9)*ROUND(BM!$H148,15-13*ORÇAMENTO!$AF$10),15-13*ORÇAMENTO!$AF$11))),IF($A148=0,0,ROUND(SomaAgrupBM,15-13*ORÇAMENTO!$AF$11)))</f>
        <v>0</v>
      </c>
    </row>
    <row r="149" spans="1:41" ht="25.5" x14ac:dyDescent="0.2">
      <c r="A149" t="str">
        <f ca="1">ORÇAMENTO!C149</f>
        <v>S</v>
      </c>
      <c r="B149">
        <f ca="1">ORÇAMENTO!D149</f>
        <v>0</v>
      </c>
      <c r="C149" s="116" t="str">
        <f t="shared" ca="1" si="61"/>
        <v>F</v>
      </c>
      <c r="D149" s="119" t="str">
        <f ca="1">ORÇAMENTO!O149</f>
        <v>9.1.3.</v>
      </c>
      <c r="E149" s="172" t="str">
        <f t="shared" ca="1" si="60"/>
        <v>LUMINARIA DE EMERGENCIA 30 LEDS, POTENCIA 2 W, BATERIA DE LITIO, AUTONOMIA DE 6 HORAS</v>
      </c>
      <c r="F149" s="173" t="str">
        <f ca="1">IF(RegimeExecucao="Global","",ORÇAMENTO.Unidade)</f>
        <v>UN</v>
      </c>
      <c r="G149" s="124">
        <f ca="1">IF(RegimeExecucao="Global","",ORÇAMENTO!T149)</f>
        <v>6</v>
      </c>
      <c r="H149" s="124">
        <f ca="1">IF(RegimeExecucao="Global","",ORÇAMENTO!W149)</f>
        <v>15.87</v>
      </c>
      <c r="I149" s="127">
        <f ca="1">ORÇAMENTO!X149</f>
        <v>95.22</v>
      </c>
      <c r="J149" s="378">
        <f ca="1">IF($A149="S",IF(CAIXA.Modo,BM.AFAnterior,BM.MEDAnterior),IF(AND(RegimeExecucao="Global",$I149&gt;0,COUNTIF($AB$13:$AM$13,BM.medicao-1)&gt;0),M149/$I149*100,0))</f>
        <v>0</v>
      </c>
      <c r="K149" s="124">
        <f t="shared" ca="1" si="62"/>
        <v>0</v>
      </c>
      <c r="L149" s="379">
        <f ca="1">IF($A149="S",IF(CAIXA.Modo,BM.AFAcumulado,BM.MEDAcumulado),IF(AND(RegimeExecucao="Global",$I149&gt;0,COUNTIF($AB$13:$AM$13,BM.medicao)&gt;0),O149/$I149*100,0))</f>
        <v>0</v>
      </c>
      <c r="M149" s="380">
        <f ca="1">IF($A149="S",VTOTALBM,IF($A149=0,0,ROUND(SomaAgrupBM,15-13*ORÇAMENTO!$AF$11)))</f>
        <v>0</v>
      </c>
      <c r="N149" s="381">
        <f t="shared" ca="1" si="63"/>
        <v>0</v>
      </c>
      <c r="O149" s="127">
        <f ca="1">IF($A149="S",VTOTALBM,IF($A149=0,0,ROUND(SomaAgrupBM,15-13*ORÇAMENTO!$AF$11)))</f>
        <v>0</v>
      </c>
      <c r="Q149" s="382"/>
      <c r="R149" s="383"/>
      <c r="T149" s="119" t="str">
        <f t="shared" ca="1" si="64"/>
        <v/>
      </c>
      <c r="U149" s="172" t="str">
        <f t="shared" ca="1" si="65"/>
        <v/>
      </c>
      <c r="V149" s="173" t="str">
        <f ca="1">IF(AND($W149&gt;0,RegimeExecucao="Unitário"),$F149,"")</f>
        <v/>
      </c>
      <c r="W149" s="547">
        <f ca="1">IF($Y149&gt;0,CHOOSE(MATCH(RegimeExecucao,{"Unitário","Global"},0),IF($A149="S",$Y149/$X149,""),($Y149/$X149)*100),0)</f>
        <v>0</v>
      </c>
      <c r="X149" s="384" t="str">
        <f ca="1">IF($Y149&gt;0,CHOOSE(MATCH(RegimeExecucao,{"Unitário","Global"},0),IF($A149="S",ROUND($H149,ORÇAMENTO!$AF$10),""),ROUND($I149,ORÇAMENTO!$AF$11)),"")</f>
        <v/>
      </c>
      <c r="Y149" s="384">
        <f t="shared" ca="1" si="66"/>
        <v>0</v>
      </c>
      <c r="Z149" s="572"/>
      <c r="AB149" s="382"/>
      <c r="AC149" s="516"/>
      <c r="AD149" s="516"/>
      <c r="AE149" s="516"/>
      <c r="AF149" s="516"/>
      <c r="AG149" s="516"/>
      <c r="AH149" s="516"/>
      <c r="AI149" s="516"/>
      <c r="AJ149" s="516"/>
      <c r="AK149" s="516"/>
      <c r="AL149" s="516"/>
      <c r="AM149" s="383"/>
      <c r="AO149">
        <f ca="1">IF($A149="S",IF(BM!$I149=0,0,CHOOSE(MATCH(RegimeExecucao,{"Global","Unitário"},0),ROUND(ROUND(BM.MEDAcumulado,15-13*BM!$A$9)/100*BM!$I149,15-13*ORÇAMENTO!$AF$11),ROUND(ROUND(BM.MEDAcumulado,15-13*BM!$A$9)*ROUND(BM!$H149,15-13*ORÇAMENTO!$AF$10),15-13*ORÇAMENTO!$AF$11))),IF($A149=0,0,ROUND(SomaAgrupBM,15-13*ORÇAMENTO!$AF$11)))</f>
        <v>0</v>
      </c>
    </row>
    <row r="150" spans="1:41" x14ac:dyDescent="0.2">
      <c r="A150">
        <f ca="1">ORÇAMENTO!C150</f>
        <v>1</v>
      </c>
      <c r="B150">
        <f ca="1">ORÇAMENTO!D150</f>
        <v>15</v>
      </c>
      <c r="C150" s="116" t="str">
        <f ca="1">IF(OR($I150&gt;0,$A150=1,$A150=2,$A150=3,$A150=4),"F","")</f>
        <v>F</v>
      </c>
      <c r="D150" s="119" t="str">
        <f ca="1">ORÇAMENTO!O150</f>
        <v>10.</v>
      </c>
      <c r="E150" s="172" t="str">
        <f>ORÇAMENTO.Descricao</f>
        <v>CAMPO DE FUTEBOL</v>
      </c>
      <c r="F150" s="173" t="str">
        <f ca="1">IF(RegimeExecucao="Global","",ORÇAMENTO.Unidade)</f>
        <v>-</v>
      </c>
      <c r="G150" s="124">
        <f ca="1">IF(RegimeExecucao="Global","",ORÇAMENTO!T150)</f>
        <v>0</v>
      </c>
      <c r="H150" s="124">
        <f ca="1">IF(RegimeExecucao="Global","",ORÇAMENTO!W150)</f>
        <v>0</v>
      </c>
      <c r="I150" s="127">
        <f ca="1">ORÇAMENTO!X150</f>
        <v>69860.06</v>
      </c>
      <c r="J150" s="378">
        <f ca="1">IF($A150="S",IF(CAIXA.Modo,BM.AFAnterior,BM.MEDAnterior),IF(AND(RegimeExecucao="Global",$I150&gt;0,COUNTIF($AB$13:$AM$13,BM.medicao-1)&gt;0),M150/$I150*100,0))</f>
        <v>0</v>
      </c>
      <c r="K150" s="124">
        <f ca="1">L150-J150</f>
        <v>0</v>
      </c>
      <c r="L150" s="379">
        <f ca="1">IF($A150="S",IF(CAIXA.Modo,BM.AFAcumulado,BM.MEDAcumulado),IF(AND(RegimeExecucao="Global",$I150&gt;0,COUNTIF($AB$13:$AM$13,BM.medicao)&gt;0),O150/$I150*100,0))</f>
        <v>0</v>
      </c>
      <c r="M150" s="380">
        <f ca="1">IF($A150="S",VTOTALBM,IF($A150=0,0,ROUND(SomaAgrupBM,15-13*ORÇAMENTO!$AF$11)))</f>
        <v>0</v>
      </c>
      <c r="N150" s="381">
        <f ca="1">O150-M150</f>
        <v>0</v>
      </c>
      <c r="O150" s="127">
        <f ca="1">IF($A150="S",VTOTALBM,IF($A150=0,0,ROUND(SomaAgrupBM,15-13*ORÇAMENTO!$AF$11)))</f>
        <v>0</v>
      </c>
      <c r="Q150" s="382"/>
      <c r="R150" s="383"/>
      <c r="T150" s="119" t="str">
        <f ca="1">IF($W150&gt;0,$D150,"")</f>
        <v/>
      </c>
      <c r="U150" s="172" t="str">
        <f ca="1">IF($W150&gt;0,$E150,"")</f>
        <v/>
      </c>
      <c r="V150" s="173" t="str">
        <f ca="1">IF(AND($W150&gt;0,RegimeExecucao="Unitário"),$F150,"")</f>
        <v/>
      </c>
      <c r="W150" s="547">
        <f ca="1">IF($Y150&gt;0,CHOOSE(MATCH(RegimeExecucao,{"Unitário","Global"},0),IF($A150="S",$Y150/$X150,""),($Y150/$X150)*100),0)</f>
        <v>0</v>
      </c>
      <c r="X150" s="384" t="str">
        <f ca="1">IF($Y150&gt;0,CHOOSE(MATCH(RegimeExecucao,{"Unitário","Global"},0),IF($A150="S",ROUND($H150,ORÇAMENTO!$AF$10),""),ROUND($I150,ORÇAMENTO!$AF$11)),"")</f>
        <v/>
      </c>
      <c r="Y150" s="384">
        <f ca="1">AO150-O150</f>
        <v>0</v>
      </c>
      <c r="Z150" s="572"/>
      <c r="AB150" s="382"/>
      <c r="AC150" s="516"/>
      <c r="AD150" s="516"/>
      <c r="AE150" s="516"/>
      <c r="AF150" s="516"/>
      <c r="AG150" s="516"/>
      <c r="AH150" s="516"/>
      <c r="AI150" s="516"/>
      <c r="AJ150" s="516"/>
      <c r="AK150" s="516"/>
      <c r="AL150" s="516"/>
      <c r="AM150" s="383"/>
      <c r="AO150">
        <f ca="1">IF($A150="S",IF(BM!$I150=0,0,CHOOSE(MATCH(RegimeExecucao,{"Global","Unitário"},0),ROUND(ROUND(BM.MEDAcumulado,15-13*BM!$A$9)/100*BM!$I150,15-13*ORÇAMENTO!$AF$11),ROUND(ROUND(BM.MEDAcumulado,15-13*BM!$A$9)*ROUND(BM!$H150,15-13*ORÇAMENTO!$AF$10),15-13*ORÇAMENTO!$AF$11))),IF($A150=0,0,ROUND(SomaAgrupBM,15-13*ORÇAMENTO!$AF$11)))</f>
        <v>0</v>
      </c>
    </row>
    <row r="151" spans="1:41" x14ac:dyDescent="0.2">
      <c r="A151">
        <f ca="1">ORÇAMENTO!C151</f>
        <v>2</v>
      </c>
      <c r="B151">
        <f ca="1">ORÇAMENTO!D151</f>
        <v>5</v>
      </c>
      <c r="C151" s="116" t="str">
        <f t="shared" ca="1" si="61"/>
        <v>F</v>
      </c>
      <c r="D151" s="119" t="str">
        <f ca="1">ORÇAMENTO!O151</f>
        <v>10.1.</v>
      </c>
      <c r="E151" s="172" t="str">
        <f t="shared" si="60"/>
        <v xml:space="preserve">ALAMBRADO </v>
      </c>
      <c r="F151" s="173" t="str">
        <f ca="1">IF(RegimeExecucao="Global","",ORÇAMENTO.Unidade)</f>
        <v>-</v>
      </c>
      <c r="G151" s="124">
        <f ca="1">IF(RegimeExecucao="Global","",ORÇAMENTO!T151)</f>
        <v>0</v>
      </c>
      <c r="H151" s="124">
        <f ca="1">IF(RegimeExecucao="Global","",ORÇAMENTO!W151)</f>
        <v>0</v>
      </c>
      <c r="I151" s="127">
        <f ca="1">ORÇAMENTO!X151</f>
        <v>62669.7</v>
      </c>
      <c r="J151" s="378">
        <f ca="1">IF($A151="S",IF(CAIXA.Modo,BM.AFAnterior,BM.MEDAnterior),IF(AND(RegimeExecucao="Global",$I151&gt;0,COUNTIF($AB$13:$AM$13,BM.medicao-1)&gt;0),M151/$I151*100,0))</f>
        <v>0</v>
      </c>
      <c r="K151" s="124">
        <f t="shared" ca="1" si="62"/>
        <v>0</v>
      </c>
      <c r="L151" s="379">
        <f ca="1">IF($A151="S",IF(CAIXA.Modo,BM.AFAcumulado,BM.MEDAcumulado),IF(AND(RegimeExecucao="Global",$I151&gt;0,COUNTIF($AB$13:$AM$13,BM.medicao)&gt;0),O151/$I151*100,0))</f>
        <v>0</v>
      </c>
      <c r="M151" s="380">
        <f ca="1">IF($A151="S",VTOTALBM,IF($A151=0,0,ROUND(SomaAgrupBM,15-13*ORÇAMENTO!$AF$11)))</f>
        <v>0</v>
      </c>
      <c r="N151" s="381">
        <f t="shared" ca="1" si="63"/>
        <v>0</v>
      </c>
      <c r="O151" s="127">
        <f ca="1">IF($A151="S",VTOTALBM,IF($A151=0,0,ROUND(SomaAgrupBM,15-13*ORÇAMENTO!$AF$11)))</f>
        <v>0</v>
      </c>
      <c r="Q151" s="382"/>
      <c r="R151" s="383"/>
      <c r="T151" s="119" t="str">
        <f t="shared" ca="1" si="64"/>
        <v/>
      </c>
      <c r="U151" s="172" t="str">
        <f t="shared" ca="1" si="65"/>
        <v/>
      </c>
      <c r="V151" s="173" t="str">
        <f ca="1">IF(AND($W151&gt;0,RegimeExecucao="Unitário"),$F151,"")</f>
        <v/>
      </c>
      <c r="W151" s="547">
        <f ca="1">IF($Y151&gt;0,CHOOSE(MATCH(RegimeExecucao,{"Unitário","Global"},0),IF($A151="S",$Y151/$X151,""),($Y151/$X151)*100),0)</f>
        <v>0</v>
      </c>
      <c r="X151" s="384" t="str">
        <f ca="1">IF($Y151&gt;0,CHOOSE(MATCH(RegimeExecucao,{"Unitário","Global"},0),IF($A151="S",ROUND($H151,ORÇAMENTO!$AF$10),""),ROUND($I151,ORÇAMENTO!$AF$11)),"")</f>
        <v/>
      </c>
      <c r="Y151" s="384">
        <f t="shared" ca="1" si="66"/>
        <v>0</v>
      </c>
      <c r="Z151" s="572"/>
      <c r="AB151" s="382"/>
      <c r="AC151" s="516"/>
      <c r="AD151" s="516"/>
      <c r="AE151" s="516"/>
      <c r="AF151" s="516"/>
      <c r="AG151" s="516"/>
      <c r="AH151" s="516"/>
      <c r="AI151" s="516"/>
      <c r="AJ151" s="516"/>
      <c r="AK151" s="516"/>
      <c r="AL151" s="516"/>
      <c r="AM151" s="383"/>
      <c r="AO151">
        <f ca="1">IF($A151="S",IF(BM!$I151=0,0,CHOOSE(MATCH(RegimeExecucao,{"Global","Unitário"},0),ROUND(ROUND(BM.MEDAcumulado,15-13*BM!$A$9)/100*BM!$I151,15-13*ORÇAMENTO!$AF$11),ROUND(ROUND(BM.MEDAcumulado,15-13*BM!$A$9)*ROUND(BM!$H151,15-13*ORÇAMENTO!$AF$10),15-13*ORÇAMENTO!$AF$11))),IF($A151=0,0,ROUND(SomaAgrupBM,15-13*ORÇAMENTO!$AF$11)))</f>
        <v>0</v>
      </c>
    </row>
    <row r="152" spans="1:41" ht="38.25" x14ac:dyDescent="0.2">
      <c r="A152" t="str">
        <f ca="1">ORÇAMENTO!C152</f>
        <v>S</v>
      </c>
      <c r="B152">
        <f ca="1">ORÇAMENTO!D152</f>
        <v>0</v>
      </c>
      <c r="C152" s="116" t="str">
        <f t="shared" ca="1" si="61"/>
        <v>F</v>
      </c>
      <c r="D152" s="119" t="str">
        <f ca="1">ORÇAMENTO!O152</f>
        <v>10.1.1.</v>
      </c>
      <c r="E152" s="172" t="str">
        <f t="shared" ca="1" si="60"/>
        <v>FORNECIMENTO E INSTALAÇÃO DE ALAMBRADO EM TELA DE ARAME GALVANIZADO QUADRANGULAR FIO 2,11 MM (14 BWG), MALHA 5X5 CM</v>
      </c>
      <c r="F152" s="173" t="str">
        <f ca="1">IF(RegimeExecucao="Global","",ORÇAMENTO.Unidade)</f>
        <v xml:space="preserve">M2 </v>
      </c>
      <c r="G152" s="124">
        <f ca="1">IF(RegimeExecucao="Global","",ORÇAMENTO!T152)</f>
        <v>688</v>
      </c>
      <c r="H152" s="124">
        <f ca="1">IF(RegimeExecucao="Global","",ORÇAMENTO!W152)</f>
        <v>39.9</v>
      </c>
      <c r="I152" s="127">
        <f ca="1">ORÇAMENTO!X152</f>
        <v>27451.200000000001</v>
      </c>
      <c r="J152" s="378">
        <f ca="1">IF($A152="S",IF(CAIXA.Modo,BM.AFAnterior,BM.MEDAnterior),IF(AND(RegimeExecucao="Global",$I152&gt;0,COUNTIF($AB$13:$AM$13,BM.medicao-1)&gt;0),M152/$I152*100,0))</f>
        <v>0</v>
      </c>
      <c r="K152" s="124">
        <f t="shared" ca="1" si="62"/>
        <v>0</v>
      </c>
      <c r="L152" s="379">
        <f ca="1">IF($A152="S",IF(CAIXA.Modo,BM.AFAcumulado,BM.MEDAcumulado),IF(AND(RegimeExecucao="Global",$I152&gt;0,COUNTIF($AB$13:$AM$13,BM.medicao)&gt;0),O152/$I152*100,0))</f>
        <v>0</v>
      </c>
      <c r="M152" s="380">
        <f ca="1">IF($A152="S",VTOTALBM,IF($A152=0,0,ROUND(SomaAgrupBM,15-13*ORÇAMENTO!$AF$11)))</f>
        <v>0</v>
      </c>
      <c r="N152" s="381">
        <f t="shared" ca="1" si="63"/>
        <v>0</v>
      </c>
      <c r="O152" s="127">
        <f ca="1">IF($A152="S",VTOTALBM,IF($A152=0,0,ROUND(SomaAgrupBM,15-13*ORÇAMENTO!$AF$11)))</f>
        <v>0</v>
      </c>
      <c r="Q152" s="382"/>
      <c r="R152" s="383"/>
      <c r="T152" s="119" t="str">
        <f t="shared" ca="1" si="64"/>
        <v/>
      </c>
      <c r="U152" s="172" t="str">
        <f t="shared" ca="1" si="65"/>
        <v/>
      </c>
      <c r="V152" s="173" t="str">
        <f ca="1">IF(AND($W152&gt;0,RegimeExecucao="Unitário"),$F152,"")</f>
        <v/>
      </c>
      <c r="W152" s="547">
        <f ca="1">IF($Y152&gt;0,CHOOSE(MATCH(RegimeExecucao,{"Unitário","Global"},0),IF($A152="S",$Y152/$X152,""),($Y152/$X152)*100),0)</f>
        <v>0</v>
      </c>
      <c r="X152" s="384" t="str">
        <f ca="1">IF($Y152&gt;0,CHOOSE(MATCH(RegimeExecucao,{"Unitário","Global"},0),IF($A152="S",ROUND($H152,ORÇAMENTO!$AF$10),""),ROUND($I152,ORÇAMENTO!$AF$11)),"")</f>
        <v/>
      </c>
      <c r="Y152" s="384">
        <f t="shared" ca="1" si="66"/>
        <v>0</v>
      </c>
      <c r="Z152" s="572"/>
      <c r="AB152" s="382"/>
      <c r="AC152" s="516"/>
      <c r="AD152" s="516"/>
      <c r="AE152" s="516"/>
      <c r="AF152" s="516"/>
      <c r="AG152" s="516"/>
      <c r="AH152" s="516"/>
      <c r="AI152" s="516"/>
      <c r="AJ152" s="516"/>
      <c r="AK152" s="516"/>
      <c r="AL152" s="516"/>
      <c r="AM152" s="383"/>
      <c r="AO152">
        <f ca="1">IF($A152="S",IF(BM!$I152=0,0,CHOOSE(MATCH(RegimeExecucao,{"Global","Unitário"},0),ROUND(ROUND(BM.MEDAcumulado,15-13*BM!$A$9)/100*BM!$I152,15-13*ORÇAMENTO!$AF$11),ROUND(ROUND(BM.MEDAcumulado,15-13*BM!$A$9)*ROUND(BM!$H152,15-13*ORÇAMENTO!$AF$10),15-13*ORÇAMENTO!$AF$11))),IF($A152=0,0,ROUND(SomaAgrupBM,15-13*ORÇAMENTO!$AF$11)))</f>
        <v>0</v>
      </c>
    </row>
    <row r="153" spans="1:41" ht="25.5" x14ac:dyDescent="0.2">
      <c r="A153" t="str">
        <f ca="1">ORÇAMENTO!C153</f>
        <v>S</v>
      </c>
      <c r="B153">
        <f ca="1">ORÇAMENTO!D153</f>
        <v>0</v>
      </c>
      <c r="C153" s="116" t="str">
        <f t="shared" ca="1" si="61"/>
        <v>F</v>
      </c>
      <c r="D153" s="119" t="str">
        <f ca="1">ORÇAMENTO!O153</f>
        <v>10.1.2.</v>
      </c>
      <c r="E153" s="172" t="str">
        <f t="shared" ca="1" si="60"/>
        <v>6 UNIDADES DE POSTE DE CONCRETO PRE FABRICADO 20X30CM, 6M DE ALTURA - INCLUSO INSTALAÇÃO</v>
      </c>
      <c r="F153" s="173" t="str">
        <f ca="1">IF(RegimeExecucao="Global","",ORÇAMENTO.Unidade)</f>
        <v>UN</v>
      </c>
      <c r="G153" s="124">
        <f ca="1">IF(RegimeExecucao="Global","",ORÇAMENTO!T153)</f>
        <v>1</v>
      </c>
      <c r="H153" s="124">
        <f ca="1">IF(RegimeExecucao="Global","",ORÇAMENTO!W153)</f>
        <v>9980</v>
      </c>
      <c r="I153" s="127">
        <f ca="1">ORÇAMENTO!X153</f>
        <v>9980</v>
      </c>
      <c r="J153" s="378">
        <f ca="1">IF($A153="S",IF(CAIXA.Modo,BM.AFAnterior,BM.MEDAnterior),IF(AND(RegimeExecucao="Global",$I153&gt;0,COUNTIF($AB$13:$AM$13,BM.medicao-1)&gt;0),M153/$I153*100,0))</f>
        <v>0</v>
      </c>
      <c r="K153" s="124">
        <f t="shared" ca="1" si="62"/>
        <v>0</v>
      </c>
      <c r="L153" s="379">
        <f ca="1">IF($A153="S",IF(CAIXA.Modo,BM.AFAcumulado,BM.MEDAcumulado),IF(AND(RegimeExecucao="Global",$I153&gt;0,COUNTIF($AB$13:$AM$13,BM.medicao)&gt;0),O153/$I153*100,0))</f>
        <v>0</v>
      </c>
      <c r="M153" s="380">
        <f ca="1">IF($A153="S",VTOTALBM,IF($A153=0,0,ROUND(SomaAgrupBM,15-13*ORÇAMENTO!$AF$11)))</f>
        <v>0</v>
      </c>
      <c r="N153" s="381">
        <f t="shared" ca="1" si="63"/>
        <v>0</v>
      </c>
      <c r="O153" s="127">
        <f ca="1">IF($A153="S",VTOTALBM,IF($A153=0,0,ROUND(SomaAgrupBM,15-13*ORÇAMENTO!$AF$11)))</f>
        <v>0</v>
      </c>
      <c r="Q153" s="382"/>
      <c r="R153" s="383"/>
      <c r="T153" s="119" t="str">
        <f t="shared" ca="1" si="64"/>
        <v/>
      </c>
      <c r="U153" s="172" t="str">
        <f t="shared" ca="1" si="65"/>
        <v/>
      </c>
      <c r="V153" s="173" t="str">
        <f ca="1">IF(AND($W153&gt;0,RegimeExecucao="Unitário"),$F153,"")</f>
        <v/>
      </c>
      <c r="W153" s="547">
        <f ca="1">IF($Y153&gt;0,CHOOSE(MATCH(RegimeExecucao,{"Unitário","Global"},0),IF($A153="S",$Y153/$X153,""),($Y153/$X153)*100),0)</f>
        <v>0</v>
      </c>
      <c r="X153" s="384" t="str">
        <f ca="1">IF($Y153&gt;0,CHOOSE(MATCH(RegimeExecucao,{"Unitário","Global"},0),IF($A153="S",ROUND($H153,ORÇAMENTO!$AF$10),""),ROUND($I153,ORÇAMENTO!$AF$11)),"")</f>
        <v/>
      </c>
      <c r="Y153" s="384">
        <f t="shared" ca="1" si="66"/>
        <v>0</v>
      </c>
      <c r="Z153" s="572"/>
      <c r="AB153" s="382"/>
      <c r="AC153" s="516"/>
      <c r="AD153" s="516"/>
      <c r="AE153" s="516"/>
      <c r="AF153" s="516"/>
      <c r="AG153" s="516"/>
      <c r="AH153" s="516"/>
      <c r="AI153" s="516"/>
      <c r="AJ153" s="516"/>
      <c r="AK153" s="516"/>
      <c r="AL153" s="516"/>
      <c r="AM153" s="383"/>
      <c r="AO153">
        <f ca="1">IF($A153="S",IF(BM!$I153=0,0,CHOOSE(MATCH(RegimeExecucao,{"Global","Unitário"},0),ROUND(ROUND(BM.MEDAcumulado,15-13*BM!$A$9)/100*BM!$I153,15-13*ORÇAMENTO!$AF$11),ROUND(ROUND(BM.MEDAcumulado,15-13*BM!$A$9)*ROUND(BM!$H153,15-13*ORÇAMENTO!$AF$10),15-13*ORÇAMENTO!$AF$11))),IF($A153=0,0,ROUND(SomaAgrupBM,15-13*ORÇAMENTO!$AF$11)))</f>
        <v>0</v>
      </c>
    </row>
    <row r="154" spans="1:41" ht="25.5" x14ac:dyDescent="0.2">
      <c r="A154" t="str">
        <f ca="1">ORÇAMENTO!C154</f>
        <v>S</v>
      </c>
      <c r="B154">
        <f ca="1">ORÇAMENTO!D154</f>
        <v>0</v>
      </c>
      <c r="C154" s="116" t="str">
        <f t="shared" ca="1" si="61"/>
        <v>F</v>
      </c>
      <c r="D154" s="119" t="str">
        <f ca="1">ORÇAMENTO!O154</f>
        <v>10.1.3.</v>
      </c>
      <c r="E154" s="172" t="str">
        <f t="shared" ca="1" si="60"/>
        <v xml:space="preserve">38 UNIDADES DE POSTE DE CONCRETO PRE FABRICADO 15X15CM, 5M DE ALTURA - INCLUSO INSTALAÇÃO </v>
      </c>
      <c r="F154" s="173" t="str">
        <f ca="1">IF(RegimeExecucao="Global","",ORÇAMENTO.Unidade)</f>
        <v>UN</v>
      </c>
      <c r="G154" s="124">
        <f ca="1">IF(RegimeExecucao="Global","",ORÇAMENTO!T154)</f>
        <v>1</v>
      </c>
      <c r="H154" s="124">
        <f ca="1">IF(RegimeExecucao="Global","",ORÇAMENTO!W154)</f>
        <v>24700</v>
      </c>
      <c r="I154" s="127">
        <f ca="1">ORÇAMENTO!X154</f>
        <v>24700</v>
      </c>
      <c r="J154" s="378">
        <f ca="1">IF($A154="S",IF(CAIXA.Modo,BM.AFAnterior,BM.MEDAnterior),IF(AND(RegimeExecucao="Global",$I154&gt;0,COUNTIF($AB$13:$AM$13,BM.medicao-1)&gt;0),M154/$I154*100,0))</f>
        <v>0</v>
      </c>
      <c r="K154" s="124">
        <f t="shared" ca="1" si="62"/>
        <v>0</v>
      </c>
      <c r="L154" s="379">
        <f ca="1">IF($A154="S",IF(CAIXA.Modo,BM.AFAcumulado,BM.MEDAcumulado),IF(AND(RegimeExecucao="Global",$I154&gt;0,COUNTIF($AB$13:$AM$13,BM.medicao)&gt;0),O154/$I154*100,0))</f>
        <v>0</v>
      </c>
      <c r="M154" s="380">
        <f ca="1">IF($A154="S",VTOTALBM,IF($A154=0,0,ROUND(SomaAgrupBM,15-13*ORÇAMENTO!$AF$11)))</f>
        <v>0</v>
      </c>
      <c r="N154" s="381">
        <f t="shared" ca="1" si="63"/>
        <v>0</v>
      </c>
      <c r="O154" s="127">
        <f ca="1">IF($A154="S",VTOTALBM,IF($A154=0,0,ROUND(SomaAgrupBM,15-13*ORÇAMENTO!$AF$11)))</f>
        <v>0</v>
      </c>
      <c r="Q154" s="382"/>
      <c r="R154" s="383"/>
      <c r="T154" s="119" t="str">
        <f t="shared" ca="1" si="64"/>
        <v/>
      </c>
      <c r="U154" s="172" t="str">
        <f t="shared" ca="1" si="65"/>
        <v/>
      </c>
      <c r="V154" s="173" t="str">
        <f ca="1">IF(AND($W154&gt;0,RegimeExecucao="Unitário"),$F154,"")</f>
        <v/>
      </c>
      <c r="W154" s="547">
        <f ca="1">IF($Y154&gt;0,CHOOSE(MATCH(RegimeExecucao,{"Unitário","Global"},0),IF($A154="S",$Y154/$X154,""),($Y154/$X154)*100),0)</f>
        <v>0</v>
      </c>
      <c r="X154" s="384" t="str">
        <f ca="1">IF($Y154&gt;0,CHOOSE(MATCH(RegimeExecucao,{"Unitário","Global"},0),IF($A154="S",ROUND($H154,ORÇAMENTO!$AF$10),""),ROUND($I154,ORÇAMENTO!$AF$11)),"")</f>
        <v/>
      </c>
      <c r="Y154" s="384">
        <f t="shared" ca="1" si="66"/>
        <v>0</v>
      </c>
      <c r="Z154" s="572"/>
      <c r="AB154" s="382"/>
      <c r="AC154" s="516"/>
      <c r="AD154" s="516"/>
      <c r="AE154" s="516"/>
      <c r="AF154" s="516"/>
      <c r="AG154" s="516"/>
      <c r="AH154" s="516"/>
      <c r="AI154" s="516"/>
      <c r="AJ154" s="516"/>
      <c r="AK154" s="516"/>
      <c r="AL154" s="516"/>
      <c r="AM154" s="383"/>
      <c r="AO154">
        <f ca="1">IF($A154="S",IF(BM!$I154=0,0,CHOOSE(MATCH(RegimeExecucao,{"Global","Unitário"},0),ROUND(ROUND(BM.MEDAcumulado,15-13*BM!$A$9)/100*BM!$I154,15-13*ORÇAMENTO!$AF$11),ROUND(ROUND(BM.MEDAcumulado,15-13*BM!$A$9)*ROUND(BM!$H154,15-13*ORÇAMENTO!$AF$10),15-13*ORÇAMENTO!$AF$11))),IF($A154=0,0,ROUND(SomaAgrupBM,15-13*ORÇAMENTO!$AF$11)))</f>
        <v>0</v>
      </c>
    </row>
    <row r="155" spans="1:41" ht="25.5" x14ac:dyDescent="0.2">
      <c r="A155" t="str">
        <f ca="1">ORÇAMENTO!C155</f>
        <v>S</v>
      </c>
      <c r="B155">
        <f ca="1">ORÇAMENTO!D155</f>
        <v>0</v>
      </c>
      <c r="C155" s="116" t="str">
        <f t="shared" ca="1" si="61"/>
        <v>F</v>
      </c>
      <c r="D155" s="119" t="str">
        <f ca="1">ORÇAMENTO!O155</f>
        <v>10.1.4.</v>
      </c>
      <c r="E155" s="172" t="str">
        <f t="shared" ca="1" si="60"/>
        <v>LIMPEZA MANUAL DE VEGETAÇÃO EM TERRENO COM ENXADA. AF_03/2024</v>
      </c>
      <c r="F155" s="173" t="str">
        <f ca="1">IF(RegimeExecucao="Global","",ORÇAMENTO.Unidade)</f>
        <v>M2</v>
      </c>
      <c r="G155" s="124">
        <f ca="1">IF(RegimeExecucao="Global","",ORÇAMENTO!T155)</f>
        <v>75</v>
      </c>
      <c r="H155" s="124">
        <f ca="1">IF(RegimeExecucao="Global","",ORÇAMENTO!W155)</f>
        <v>7.18</v>
      </c>
      <c r="I155" s="127">
        <f ca="1">ORÇAMENTO!X155</f>
        <v>538.5</v>
      </c>
      <c r="J155" s="378">
        <f ca="1">IF($A155="S",IF(CAIXA.Modo,BM.AFAnterior,BM.MEDAnterior),IF(AND(RegimeExecucao="Global",$I155&gt;0,COUNTIF($AB$13:$AM$13,BM.medicao-1)&gt;0),M155/$I155*100,0))</f>
        <v>0</v>
      </c>
      <c r="K155" s="124">
        <f t="shared" ca="1" si="62"/>
        <v>0</v>
      </c>
      <c r="L155" s="379">
        <f ca="1">IF($A155="S",IF(CAIXA.Modo,BM.AFAcumulado,BM.MEDAcumulado),IF(AND(RegimeExecucao="Global",$I155&gt;0,COUNTIF($AB$13:$AM$13,BM.medicao)&gt;0),O155/$I155*100,0))</f>
        <v>0</v>
      </c>
      <c r="M155" s="380">
        <f ca="1">IF($A155="S",VTOTALBM,IF($A155=0,0,ROUND(SomaAgrupBM,15-13*ORÇAMENTO!$AF$11)))</f>
        <v>0</v>
      </c>
      <c r="N155" s="381">
        <f t="shared" ca="1" si="63"/>
        <v>0</v>
      </c>
      <c r="O155" s="127">
        <f ca="1">IF($A155="S",VTOTALBM,IF($A155=0,0,ROUND(SomaAgrupBM,15-13*ORÇAMENTO!$AF$11)))</f>
        <v>0</v>
      </c>
      <c r="Q155" s="382"/>
      <c r="R155" s="383"/>
      <c r="T155" s="119" t="str">
        <f t="shared" ca="1" si="64"/>
        <v/>
      </c>
      <c r="U155" s="172" t="str">
        <f t="shared" ca="1" si="65"/>
        <v/>
      </c>
      <c r="V155" s="173" t="str">
        <f ca="1">IF(AND($W155&gt;0,RegimeExecucao="Unitário"),$F155,"")</f>
        <v/>
      </c>
      <c r="W155" s="547">
        <f ca="1">IF($Y155&gt;0,CHOOSE(MATCH(RegimeExecucao,{"Unitário","Global"},0),IF($A155="S",$Y155/$X155,""),($Y155/$X155)*100),0)</f>
        <v>0</v>
      </c>
      <c r="X155" s="384" t="str">
        <f ca="1">IF($Y155&gt;0,CHOOSE(MATCH(RegimeExecucao,{"Unitário","Global"},0),IF($A155="S",ROUND($H155,ORÇAMENTO!$AF$10),""),ROUND($I155,ORÇAMENTO!$AF$11)),"")</f>
        <v/>
      </c>
      <c r="Y155" s="384">
        <f t="shared" ca="1" si="66"/>
        <v>0</v>
      </c>
      <c r="Z155" s="572"/>
      <c r="AB155" s="382"/>
      <c r="AC155" s="516"/>
      <c r="AD155" s="516"/>
      <c r="AE155" s="516"/>
      <c r="AF155" s="516"/>
      <c r="AG155" s="516"/>
      <c r="AH155" s="516"/>
      <c r="AI155" s="516"/>
      <c r="AJ155" s="516"/>
      <c r="AK155" s="516"/>
      <c r="AL155" s="516"/>
      <c r="AM155" s="383"/>
      <c r="AO155">
        <f ca="1">IF($A155="S",IF(BM!$I155=0,0,CHOOSE(MATCH(RegimeExecucao,{"Global","Unitário"},0),ROUND(ROUND(BM.MEDAcumulado,15-13*BM!$A$9)/100*BM!$I155,15-13*ORÇAMENTO!$AF$11),ROUND(ROUND(BM.MEDAcumulado,15-13*BM!$A$9)*ROUND(BM!$H155,15-13*ORÇAMENTO!$AF$10),15-13*ORÇAMENTO!$AF$11))),IF($A155=0,0,ROUND(SomaAgrupBM,15-13*ORÇAMENTO!$AF$11)))</f>
        <v>0</v>
      </c>
    </row>
    <row r="156" spans="1:41" x14ac:dyDescent="0.2">
      <c r="A156">
        <f ca="1">ORÇAMENTO!C156</f>
        <v>2</v>
      </c>
      <c r="B156">
        <f ca="1">ORÇAMENTO!D156</f>
        <v>7</v>
      </c>
      <c r="C156" s="116" t="str">
        <f ca="1">IF(OR($I156&gt;0,$A156=1,$A156=2,$A156=3,$A156=4),"F","")</f>
        <v>F</v>
      </c>
      <c r="D156" s="119" t="str">
        <f ca="1">ORÇAMENTO!O156</f>
        <v>10.2.</v>
      </c>
      <c r="E156" s="172" t="str">
        <f>ORÇAMENTO.Descricao</f>
        <v>ILUMINAÇÃO</v>
      </c>
      <c r="F156" s="173" t="str">
        <f ca="1">IF(RegimeExecucao="Global","",ORÇAMENTO.Unidade)</f>
        <v>-</v>
      </c>
      <c r="G156" s="124">
        <f ca="1">IF(RegimeExecucao="Global","",ORÇAMENTO!T156)</f>
        <v>0</v>
      </c>
      <c r="H156" s="124">
        <f ca="1">IF(RegimeExecucao="Global","",ORÇAMENTO!W156)</f>
        <v>0</v>
      </c>
      <c r="I156" s="127">
        <f ca="1">ORÇAMENTO!X156</f>
        <v>7038</v>
      </c>
      <c r="J156" s="378">
        <f ca="1">IF($A156="S",IF(CAIXA.Modo,BM.AFAnterior,BM.MEDAnterior),IF(AND(RegimeExecucao="Global",$I156&gt;0,COUNTIF($AB$13:$AM$13,BM.medicao-1)&gt;0),M156/$I156*100,0))</f>
        <v>0</v>
      </c>
      <c r="K156" s="124">
        <f ca="1">L156-J156</f>
        <v>0</v>
      </c>
      <c r="L156" s="379">
        <f ca="1">IF($A156="S",IF(CAIXA.Modo,BM.AFAcumulado,BM.MEDAcumulado),IF(AND(RegimeExecucao="Global",$I156&gt;0,COUNTIF($AB$13:$AM$13,BM.medicao)&gt;0),O156/$I156*100,0))</f>
        <v>0</v>
      </c>
      <c r="M156" s="380">
        <f ca="1">IF($A156="S",VTOTALBM,IF($A156=0,0,ROUND(SomaAgrupBM,15-13*ORÇAMENTO!$AF$11)))</f>
        <v>0</v>
      </c>
      <c r="N156" s="381">
        <f ca="1">O156-M156</f>
        <v>0</v>
      </c>
      <c r="O156" s="127">
        <f ca="1">IF($A156="S",VTOTALBM,IF($A156=0,0,ROUND(SomaAgrupBM,15-13*ORÇAMENTO!$AF$11)))</f>
        <v>0</v>
      </c>
      <c r="Q156" s="382"/>
      <c r="R156" s="383"/>
      <c r="T156" s="119" t="str">
        <f ca="1">IF($W156&gt;0,$D156,"")</f>
        <v/>
      </c>
      <c r="U156" s="172" t="str">
        <f ca="1">IF($W156&gt;0,$E156,"")</f>
        <v/>
      </c>
      <c r="V156" s="173" t="str">
        <f ca="1">IF(AND($W156&gt;0,RegimeExecucao="Unitário"),$F156,"")</f>
        <v/>
      </c>
      <c r="W156" s="547">
        <f ca="1">IF($Y156&gt;0,CHOOSE(MATCH(RegimeExecucao,{"Unitário","Global"},0),IF($A156="S",$Y156/$X156,""),($Y156/$X156)*100),0)</f>
        <v>0</v>
      </c>
      <c r="X156" s="384" t="str">
        <f ca="1">IF($Y156&gt;0,CHOOSE(MATCH(RegimeExecucao,{"Unitário","Global"},0),IF($A156="S",ROUND($H156,ORÇAMENTO!$AF$10),""),ROUND($I156,ORÇAMENTO!$AF$11)),"")</f>
        <v/>
      </c>
      <c r="Y156" s="384">
        <f ca="1">AO156-O156</f>
        <v>0</v>
      </c>
      <c r="Z156" s="572"/>
      <c r="AB156" s="382"/>
      <c r="AC156" s="516"/>
      <c r="AD156" s="516"/>
      <c r="AE156" s="516"/>
      <c r="AF156" s="516"/>
      <c r="AG156" s="516"/>
      <c r="AH156" s="516"/>
      <c r="AI156" s="516"/>
      <c r="AJ156" s="516"/>
      <c r="AK156" s="516"/>
      <c r="AL156" s="516"/>
      <c r="AM156" s="383"/>
      <c r="AO156">
        <f ca="1">IF($A156="S",IF(BM!$I156=0,0,CHOOSE(MATCH(RegimeExecucao,{"Global","Unitário"},0),ROUND(ROUND(BM.MEDAcumulado,15-13*BM!$A$9)/100*BM!$I156,15-13*ORÇAMENTO!$AF$11),ROUND(ROUND(BM.MEDAcumulado,15-13*BM!$A$9)*ROUND(BM!$H156,15-13*ORÇAMENTO!$AF$10),15-13*ORÇAMENTO!$AF$11))),IF($A156=0,0,ROUND(SomaAgrupBM,15-13*ORÇAMENTO!$AF$11)))</f>
        <v>0</v>
      </c>
    </row>
    <row r="157" spans="1:41" ht="25.5" x14ac:dyDescent="0.2">
      <c r="A157" t="str">
        <f ca="1">ORÇAMENTO!C157</f>
        <v>S</v>
      </c>
      <c r="B157">
        <f ca="1">ORÇAMENTO!D157</f>
        <v>0</v>
      </c>
      <c r="C157" s="116" t="str">
        <f t="shared" ca="1" si="61"/>
        <v>F</v>
      </c>
      <c r="D157" s="119" t="str">
        <f ca="1">ORÇAMENTO!O157</f>
        <v>10.2.1.</v>
      </c>
      <c r="E157" s="172" t="str">
        <f t="shared" ca="1" si="60"/>
        <v>DISJUNTOR BIPOLAR TIPO DIN, CORRENTE NOMINAL DE 20A - FORNECIMENTO E INSTALAÇÃO. AF_07/2025</v>
      </c>
      <c r="F157" s="173" t="str">
        <f ca="1">IF(RegimeExecucao="Global","",ORÇAMENTO.Unidade)</f>
        <v>UN</v>
      </c>
      <c r="G157" s="124">
        <f ca="1">IF(RegimeExecucao="Global","",ORÇAMENTO!T157)</f>
        <v>1</v>
      </c>
      <c r="H157" s="124">
        <f ca="1">IF(RegimeExecucao="Global","",ORÇAMENTO!W157)</f>
        <v>71.52</v>
      </c>
      <c r="I157" s="127">
        <f ca="1">ORÇAMENTO!X157</f>
        <v>71.52</v>
      </c>
      <c r="J157" s="378">
        <f ca="1">IF($A157="S",IF(CAIXA.Modo,BM.AFAnterior,BM.MEDAnterior),IF(AND(RegimeExecucao="Global",$I157&gt;0,COUNTIF($AB$13:$AM$13,BM.medicao-1)&gt;0),M157/$I157*100,0))</f>
        <v>0</v>
      </c>
      <c r="K157" s="124">
        <f t="shared" ca="1" si="62"/>
        <v>0</v>
      </c>
      <c r="L157" s="379">
        <f ca="1">IF($A157="S",IF(CAIXA.Modo,BM.AFAcumulado,BM.MEDAcumulado),IF(AND(RegimeExecucao="Global",$I157&gt;0,COUNTIF($AB$13:$AM$13,BM.medicao)&gt;0),O157/$I157*100,0))</f>
        <v>0</v>
      </c>
      <c r="M157" s="380">
        <f ca="1">IF($A157="S",VTOTALBM,IF($A157=0,0,ROUND(SomaAgrupBM,15-13*ORÇAMENTO!$AF$11)))</f>
        <v>0</v>
      </c>
      <c r="N157" s="381">
        <f t="shared" ca="1" si="63"/>
        <v>0</v>
      </c>
      <c r="O157" s="127">
        <f ca="1">IF($A157="S",VTOTALBM,IF($A157=0,0,ROUND(SomaAgrupBM,15-13*ORÇAMENTO!$AF$11)))</f>
        <v>0</v>
      </c>
      <c r="Q157" s="382"/>
      <c r="R157" s="383"/>
      <c r="T157" s="119" t="str">
        <f t="shared" ca="1" si="64"/>
        <v/>
      </c>
      <c r="U157" s="172" t="str">
        <f t="shared" ca="1" si="65"/>
        <v/>
      </c>
      <c r="V157" s="173" t="str">
        <f ca="1">IF(AND($W157&gt;0,RegimeExecucao="Unitário"),$F157,"")</f>
        <v/>
      </c>
      <c r="W157" s="547">
        <f ca="1">IF($Y157&gt;0,CHOOSE(MATCH(RegimeExecucao,{"Unitário","Global"},0),IF($A157="S",$Y157/$X157,""),($Y157/$X157)*100),0)</f>
        <v>0</v>
      </c>
      <c r="X157" s="384" t="str">
        <f ca="1">IF($Y157&gt;0,CHOOSE(MATCH(RegimeExecucao,{"Unitário","Global"},0),IF($A157="S",ROUND($H157,ORÇAMENTO!$AF$10),""),ROUND($I157,ORÇAMENTO!$AF$11)),"")</f>
        <v/>
      </c>
      <c r="Y157" s="384">
        <f t="shared" ca="1" si="66"/>
        <v>0</v>
      </c>
      <c r="Z157" s="572"/>
      <c r="AB157" s="382"/>
      <c r="AC157" s="516"/>
      <c r="AD157" s="516"/>
      <c r="AE157" s="516"/>
      <c r="AF157" s="516"/>
      <c r="AG157" s="516"/>
      <c r="AH157" s="516"/>
      <c r="AI157" s="516"/>
      <c r="AJ157" s="516"/>
      <c r="AK157" s="516"/>
      <c r="AL157" s="516"/>
      <c r="AM157" s="383"/>
      <c r="AO157">
        <f ca="1">IF($A157="S",IF(BM!$I157=0,0,CHOOSE(MATCH(RegimeExecucao,{"Global","Unitário"},0),ROUND(ROUND(BM.MEDAcumulado,15-13*BM!$A$9)/100*BM!$I157,15-13*ORÇAMENTO!$AF$11),ROUND(ROUND(BM.MEDAcumulado,15-13*BM!$A$9)*ROUND(BM!$H157,15-13*ORÇAMENTO!$AF$10),15-13*ORÇAMENTO!$AF$11))),IF($A157=0,0,ROUND(SomaAgrupBM,15-13*ORÇAMENTO!$AF$11)))</f>
        <v>0</v>
      </c>
    </row>
    <row r="158" spans="1:41" ht="38.25" x14ac:dyDescent="0.2">
      <c r="A158" t="str">
        <f ca="1">ORÇAMENTO!C158</f>
        <v>S</v>
      </c>
      <c r="B158">
        <f ca="1">ORÇAMENTO!D158</f>
        <v>0</v>
      </c>
      <c r="C158" s="116" t="str">
        <f t="shared" ca="1" si="61"/>
        <v>F</v>
      </c>
      <c r="D158" s="119" t="str">
        <f ca="1">ORÇAMENTO!O158</f>
        <v>10.2.2.</v>
      </c>
      <c r="E158" s="172" t="str">
        <f t="shared" ca="1" si="60"/>
        <v>CAIXA DE INSPECAO PARA ATERRAMENTO E PARA RAIOS, EM POLIPROPILENO, DIAMETRO = 300 MM X ALTURA = 400 MM (INCLUIDA TAMPA SEM ESCOTILHA)</v>
      </c>
      <c r="F158" s="173" t="str">
        <f ca="1">IF(RegimeExecucao="Global","",ORÇAMENTO.Unidade)</f>
        <v>UN</v>
      </c>
      <c r="G158" s="124">
        <f ca="1">IF(RegimeExecucao="Global","",ORÇAMENTO!T158)</f>
        <v>6</v>
      </c>
      <c r="H158" s="124">
        <f ca="1">IF(RegimeExecucao="Global","",ORÇAMENTO!W158)</f>
        <v>56.99</v>
      </c>
      <c r="I158" s="127">
        <f ca="1">ORÇAMENTO!X158</f>
        <v>341.94</v>
      </c>
      <c r="J158" s="378">
        <f ca="1">IF($A158="S",IF(CAIXA.Modo,BM.AFAnterior,BM.MEDAnterior),IF(AND(RegimeExecucao="Global",$I158&gt;0,COUNTIF($AB$13:$AM$13,BM.medicao-1)&gt;0),M158/$I158*100,0))</f>
        <v>0</v>
      </c>
      <c r="K158" s="124">
        <f t="shared" ca="1" si="62"/>
        <v>0</v>
      </c>
      <c r="L158" s="379">
        <f ca="1">IF($A158="S",IF(CAIXA.Modo,BM.AFAcumulado,BM.MEDAcumulado),IF(AND(RegimeExecucao="Global",$I158&gt;0,COUNTIF($AB$13:$AM$13,BM.medicao)&gt;0),O158/$I158*100,0))</f>
        <v>0</v>
      </c>
      <c r="M158" s="380">
        <f ca="1">IF($A158="S",VTOTALBM,IF($A158=0,0,ROUND(SomaAgrupBM,15-13*ORÇAMENTO!$AF$11)))</f>
        <v>0</v>
      </c>
      <c r="N158" s="381">
        <f t="shared" ca="1" si="63"/>
        <v>0</v>
      </c>
      <c r="O158" s="127">
        <f ca="1">IF($A158="S",VTOTALBM,IF($A158=0,0,ROUND(SomaAgrupBM,15-13*ORÇAMENTO!$AF$11)))</f>
        <v>0</v>
      </c>
      <c r="Q158" s="382"/>
      <c r="R158" s="383"/>
      <c r="T158" s="119" t="str">
        <f t="shared" ca="1" si="64"/>
        <v/>
      </c>
      <c r="U158" s="172" t="str">
        <f t="shared" ca="1" si="65"/>
        <v/>
      </c>
      <c r="V158" s="173" t="str">
        <f ca="1">IF(AND($W158&gt;0,RegimeExecucao="Unitário"),$F158,"")</f>
        <v/>
      </c>
      <c r="W158" s="547">
        <f ca="1">IF($Y158&gt;0,CHOOSE(MATCH(RegimeExecucao,{"Unitário","Global"},0),IF($A158="S",$Y158/$X158,""),($Y158/$X158)*100),0)</f>
        <v>0</v>
      </c>
      <c r="X158" s="384" t="str">
        <f ca="1">IF($Y158&gt;0,CHOOSE(MATCH(RegimeExecucao,{"Unitário","Global"},0),IF($A158="S",ROUND($H158,ORÇAMENTO!$AF$10),""),ROUND($I158,ORÇAMENTO!$AF$11)),"")</f>
        <v/>
      </c>
      <c r="Y158" s="384">
        <f t="shared" ca="1" si="66"/>
        <v>0</v>
      </c>
      <c r="Z158" s="572"/>
      <c r="AB158" s="382"/>
      <c r="AC158" s="516"/>
      <c r="AD158" s="516"/>
      <c r="AE158" s="516"/>
      <c r="AF158" s="516"/>
      <c r="AG158" s="516"/>
      <c r="AH158" s="516"/>
      <c r="AI158" s="516"/>
      <c r="AJ158" s="516"/>
      <c r="AK158" s="516"/>
      <c r="AL158" s="516"/>
      <c r="AM158" s="383"/>
      <c r="AO158">
        <f ca="1">IF($A158="S",IF(BM!$I158=0,0,CHOOSE(MATCH(RegimeExecucao,{"Global","Unitário"},0),ROUND(ROUND(BM.MEDAcumulado,15-13*BM!$A$9)/100*BM!$I158,15-13*ORÇAMENTO!$AF$11),ROUND(ROUND(BM.MEDAcumulado,15-13*BM!$A$9)*ROUND(BM!$H158,15-13*ORÇAMENTO!$AF$10),15-13*ORÇAMENTO!$AF$11))),IF($A158=0,0,ROUND(SomaAgrupBM,15-13*ORÇAMENTO!$AF$11)))</f>
        <v>0</v>
      </c>
    </row>
    <row r="159" spans="1:41" ht="25.5" x14ac:dyDescent="0.2">
      <c r="A159" t="str">
        <f ca="1">ORÇAMENTO!C159</f>
        <v>S</v>
      </c>
      <c r="B159">
        <f ca="1">ORÇAMENTO!D159</f>
        <v>0</v>
      </c>
      <c r="C159" s="116" t="str">
        <f t="shared" ca="1" si="61"/>
        <v>F</v>
      </c>
      <c r="D159" s="119" t="str">
        <f ca="1">ORÇAMENTO!O159</f>
        <v>10.2.3.</v>
      </c>
      <c r="E159" s="172" t="str">
        <f t="shared" ca="1" si="60"/>
        <v>HASTE DE ATERRAMENTO, DIÂMETRO 5/8", COM 3 METROS - FORNECIMENTO E INSTALAÇÃO. AF_08/2023</v>
      </c>
      <c r="F159" s="173" t="str">
        <f ca="1">IF(RegimeExecucao="Global","",ORÇAMENTO.Unidade)</f>
        <v>UN</v>
      </c>
      <c r="G159" s="124">
        <f ca="1">IF(RegimeExecucao="Global","",ORÇAMENTO!T159)</f>
        <v>6</v>
      </c>
      <c r="H159" s="124">
        <f ca="1">IF(RegimeExecucao="Global","",ORÇAMENTO!W159)</f>
        <v>96.53</v>
      </c>
      <c r="I159" s="127">
        <f ca="1">ORÇAMENTO!X159</f>
        <v>579.17999999999995</v>
      </c>
      <c r="J159" s="378">
        <f ca="1">IF($A159="S",IF(CAIXA.Modo,BM.AFAnterior,BM.MEDAnterior),IF(AND(RegimeExecucao="Global",$I159&gt;0,COUNTIF($AB$13:$AM$13,BM.medicao-1)&gt;0),M159/$I159*100,0))</f>
        <v>0</v>
      </c>
      <c r="K159" s="124">
        <f t="shared" ca="1" si="62"/>
        <v>0</v>
      </c>
      <c r="L159" s="379">
        <f ca="1">IF($A159="S",IF(CAIXA.Modo,BM.AFAcumulado,BM.MEDAcumulado),IF(AND(RegimeExecucao="Global",$I159&gt;0,COUNTIF($AB$13:$AM$13,BM.medicao)&gt;0),O159/$I159*100,0))</f>
        <v>0</v>
      </c>
      <c r="M159" s="380">
        <f ca="1">IF($A159="S",VTOTALBM,IF($A159=0,0,ROUND(SomaAgrupBM,15-13*ORÇAMENTO!$AF$11)))</f>
        <v>0</v>
      </c>
      <c r="N159" s="381">
        <f t="shared" ca="1" si="63"/>
        <v>0</v>
      </c>
      <c r="O159" s="127">
        <f ca="1">IF($A159="S",VTOTALBM,IF($A159=0,0,ROUND(SomaAgrupBM,15-13*ORÇAMENTO!$AF$11)))</f>
        <v>0</v>
      </c>
      <c r="Q159" s="382"/>
      <c r="R159" s="383"/>
      <c r="T159" s="119" t="str">
        <f t="shared" ca="1" si="64"/>
        <v/>
      </c>
      <c r="U159" s="172" t="str">
        <f t="shared" ca="1" si="65"/>
        <v/>
      </c>
      <c r="V159" s="173" t="str">
        <f ca="1">IF(AND($W159&gt;0,RegimeExecucao="Unitário"),$F159,"")</f>
        <v/>
      </c>
      <c r="W159" s="547">
        <f ca="1">IF($Y159&gt;0,CHOOSE(MATCH(RegimeExecucao,{"Unitário","Global"},0),IF($A159="S",$Y159/$X159,""),($Y159/$X159)*100),0)</f>
        <v>0</v>
      </c>
      <c r="X159" s="384" t="str">
        <f ca="1">IF($Y159&gt;0,CHOOSE(MATCH(RegimeExecucao,{"Unitário","Global"},0),IF($A159="S",ROUND($H159,ORÇAMENTO!$AF$10),""),ROUND($I159,ORÇAMENTO!$AF$11)),"")</f>
        <v/>
      </c>
      <c r="Y159" s="384">
        <f t="shared" ca="1" si="66"/>
        <v>0</v>
      </c>
      <c r="Z159" s="572"/>
      <c r="AB159" s="382"/>
      <c r="AC159" s="516"/>
      <c r="AD159" s="516"/>
      <c r="AE159" s="516"/>
      <c r="AF159" s="516"/>
      <c r="AG159" s="516"/>
      <c r="AH159" s="516"/>
      <c r="AI159" s="516"/>
      <c r="AJ159" s="516"/>
      <c r="AK159" s="516"/>
      <c r="AL159" s="516"/>
      <c r="AM159" s="383"/>
      <c r="AO159">
        <f ca="1">IF($A159="S",IF(BM!$I159=0,0,CHOOSE(MATCH(RegimeExecucao,{"Global","Unitário"},0),ROUND(ROUND(BM.MEDAcumulado,15-13*BM!$A$9)/100*BM!$I159,15-13*ORÇAMENTO!$AF$11),ROUND(ROUND(BM.MEDAcumulado,15-13*BM!$A$9)*ROUND(BM!$H159,15-13*ORÇAMENTO!$AF$10),15-13*ORÇAMENTO!$AF$11))),IF($A159=0,0,ROUND(SomaAgrupBM,15-13*ORÇAMENTO!$AF$11)))</f>
        <v>0</v>
      </c>
    </row>
    <row r="160" spans="1:41" ht="38.25" x14ac:dyDescent="0.2">
      <c r="A160" t="str">
        <f ca="1">ORÇAMENTO!C160</f>
        <v>S</v>
      </c>
      <c r="B160">
        <f ca="1">ORÇAMENTO!D160</f>
        <v>0</v>
      </c>
      <c r="C160" s="116" t="str">
        <f t="shared" ca="1" si="61"/>
        <v>F</v>
      </c>
      <c r="D160" s="119" t="str">
        <f ca="1">ORÇAMENTO!O160</f>
        <v>10.2.4.</v>
      </c>
      <c r="E160" s="172" t="str">
        <f t="shared" ca="1" si="60"/>
        <v>CABO DE COBRE FLEXÍVEL ISOLADO, 2,5 MM², ANTI-CHAMA 450/750 V, PARA CIRCUITOS TERMINAIS - FORNECIMENTO E INSTALAÇÃO. AF_03/2023</v>
      </c>
      <c r="F160" s="173" t="str">
        <f ca="1">IF(RegimeExecucao="Global","",ORÇAMENTO.Unidade)</f>
        <v>M</v>
      </c>
      <c r="G160" s="124">
        <f ca="1">IF(RegimeExecucao="Global","",ORÇAMENTO!T160)</f>
        <v>363</v>
      </c>
      <c r="H160" s="124">
        <f ca="1">IF(RegimeExecucao="Global","",ORÇAMENTO!W160)</f>
        <v>6.92</v>
      </c>
      <c r="I160" s="127">
        <f ca="1">ORÇAMENTO!X160</f>
        <v>2511.96</v>
      </c>
      <c r="J160" s="378">
        <f ca="1">IF($A160="S",IF(CAIXA.Modo,BM.AFAnterior,BM.MEDAnterior),IF(AND(RegimeExecucao="Global",$I160&gt;0,COUNTIF($AB$13:$AM$13,BM.medicao-1)&gt;0),M160/$I160*100,0))</f>
        <v>0</v>
      </c>
      <c r="K160" s="124">
        <f t="shared" ca="1" si="62"/>
        <v>0</v>
      </c>
      <c r="L160" s="379">
        <f ca="1">IF($A160="S",IF(CAIXA.Modo,BM.AFAcumulado,BM.MEDAcumulado),IF(AND(RegimeExecucao="Global",$I160&gt;0,COUNTIF($AB$13:$AM$13,BM.medicao)&gt;0),O160/$I160*100,0))</f>
        <v>0</v>
      </c>
      <c r="M160" s="380">
        <f ca="1">IF($A160="S",VTOTALBM,IF($A160=0,0,ROUND(SomaAgrupBM,15-13*ORÇAMENTO!$AF$11)))</f>
        <v>0</v>
      </c>
      <c r="N160" s="381">
        <f t="shared" ca="1" si="63"/>
        <v>0</v>
      </c>
      <c r="O160" s="127">
        <f ca="1">IF($A160="S",VTOTALBM,IF($A160=0,0,ROUND(SomaAgrupBM,15-13*ORÇAMENTO!$AF$11)))</f>
        <v>0</v>
      </c>
      <c r="Q160" s="382"/>
      <c r="R160" s="383"/>
      <c r="T160" s="119" t="str">
        <f t="shared" ca="1" si="64"/>
        <v/>
      </c>
      <c r="U160" s="172" t="str">
        <f t="shared" ca="1" si="65"/>
        <v/>
      </c>
      <c r="V160" s="173" t="str">
        <f ca="1">IF(AND($W160&gt;0,RegimeExecucao="Unitário"),$F160,"")</f>
        <v/>
      </c>
      <c r="W160" s="547">
        <f ca="1">IF($Y160&gt;0,CHOOSE(MATCH(RegimeExecucao,{"Unitário","Global"},0),IF($A160="S",$Y160/$X160,""),($Y160/$X160)*100),0)</f>
        <v>0</v>
      </c>
      <c r="X160" s="384" t="str">
        <f ca="1">IF($Y160&gt;0,CHOOSE(MATCH(RegimeExecucao,{"Unitário","Global"},0),IF($A160="S",ROUND($H160,ORÇAMENTO!$AF$10),""),ROUND($I160,ORÇAMENTO!$AF$11)),"")</f>
        <v/>
      </c>
      <c r="Y160" s="384">
        <f t="shared" ca="1" si="66"/>
        <v>0</v>
      </c>
      <c r="Z160" s="572"/>
      <c r="AB160" s="382"/>
      <c r="AC160" s="516"/>
      <c r="AD160" s="516"/>
      <c r="AE160" s="516"/>
      <c r="AF160" s="516"/>
      <c r="AG160" s="516"/>
      <c r="AH160" s="516"/>
      <c r="AI160" s="516"/>
      <c r="AJ160" s="516"/>
      <c r="AK160" s="516"/>
      <c r="AL160" s="516"/>
      <c r="AM160" s="383"/>
      <c r="AO160">
        <f ca="1">IF($A160="S",IF(BM!$I160=0,0,CHOOSE(MATCH(RegimeExecucao,{"Global","Unitário"},0),ROUND(ROUND(BM.MEDAcumulado,15-13*BM!$A$9)/100*BM!$I160,15-13*ORÇAMENTO!$AF$11),ROUND(ROUND(BM.MEDAcumulado,15-13*BM!$A$9)*ROUND(BM!$H160,15-13*ORÇAMENTO!$AF$10),15-13*ORÇAMENTO!$AF$11))),IF($A160=0,0,ROUND(SomaAgrupBM,15-13*ORÇAMENTO!$AF$11)))</f>
        <v>0</v>
      </c>
    </row>
    <row r="161" spans="1:41" ht="25.5" x14ac:dyDescent="0.2">
      <c r="A161" t="str">
        <f ca="1">ORÇAMENTO!C161</f>
        <v>S</v>
      </c>
      <c r="B161">
        <f ca="1">ORÇAMENTO!D161</f>
        <v>0</v>
      </c>
      <c r="C161" s="116" t="str">
        <f t="shared" ca="1" si="61"/>
        <v>F</v>
      </c>
      <c r="D161" s="119" t="str">
        <f ca="1">ORÇAMENTO!O161</f>
        <v>10.2.5.</v>
      </c>
      <c r="E161" s="172" t="str">
        <f t="shared" ca="1" si="60"/>
        <v>ELETRODUTO PVC FLEXIVEL CORRUGADO, REFORCADO, COR LARANJA, DE 20 MM, PARA LAJES E PISOS</v>
      </c>
      <c r="F161" s="173" t="str">
        <f ca="1">IF(RegimeExecucao="Global","",ORÇAMENTO.Unidade)</f>
        <v>M</v>
      </c>
      <c r="G161" s="124">
        <f ca="1">IF(RegimeExecucao="Global","",ORÇAMENTO!T161)</f>
        <v>132</v>
      </c>
      <c r="H161" s="124">
        <f ca="1">IF(RegimeExecucao="Global","",ORÇAMENTO!W161)</f>
        <v>3.03</v>
      </c>
      <c r="I161" s="127">
        <f ca="1">ORÇAMENTO!X161</f>
        <v>399.96</v>
      </c>
      <c r="J161" s="378">
        <f ca="1">IF($A161="S",IF(CAIXA.Modo,BM.AFAnterior,BM.MEDAnterior),IF(AND(RegimeExecucao="Global",$I161&gt;0,COUNTIF($AB$13:$AM$13,BM.medicao-1)&gt;0),M161/$I161*100,0))</f>
        <v>0</v>
      </c>
      <c r="K161" s="124">
        <f t="shared" ca="1" si="62"/>
        <v>0</v>
      </c>
      <c r="L161" s="379">
        <f ca="1">IF($A161="S",IF(CAIXA.Modo,BM.AFAcumulado,BM.MEDAcumulado),IF(AND(RegimeExecucao="Global",$I161&gt;0,COUNTIF($AB$13:$AM$13,BM.medicao)&gt;0),O161/$I161*100,0))</f>
        <v>0</v>
      </c>
      <c r="M161" s="380">
        <f ca="1">IF($A161="S",VTOTALBM,IF($A161=0,0,ROUND(SomaAgrupBM,15-13*ORÇAMENTO!$AF$11)))</f>
        <v>0</v>
      </c>
      <c r="N161" s="381">
        <f t="shared" ca="1" si="63"/>
        <v>0</v>
      </c>
      <c r="O161" s="127">
        <f ca="1">IF($A161="S",VTOTALBM,IF($A161=0,0,ROUND(SomaAgrupBM,15-13*ORÇAMENTO!$AF$11)))</f>
        <v>0</v>
      </c>
      <c r="Q161" s="382"/>
      <c r="R161" s="383"/>
      <c r="T161" s="119" t="str">
        <f t="shared" ca="1" si="64"/>
        <v/>
      </c>
      <c r="U161" s="172" t="str">
        <f t="shared" ca="1" si="65"/>
        <v/>
      </c>
      <c r="V161" s="173" t="str">
        <f ca="1">IF(AND($W161&gt;0,RegimeExecucao="Unitário"),$F161,"")</f>
        <v/>
      </c>
      <c r="W161" s="547">
        <f ca="1">IF($Y161&gt;0,CHOOSE(MATCH(RegimeExecucao,{"Unitário","Global"},0),IF($A161="S",$Y161/$X161,""),($Y161/$X161)*100),0)</f>
        <v>0</v>
      </c>
      <c r="X161" s="384" t="str">
        <f ca="1">IF($Y161&gt;0,CHOOSE(MATCH(RegimeExecucao,{"Unitário","Global"},0),IF($A161="S",ROUND($H161,ORÇAMENTO!$AF$10),""),ROUND($I161,ORÇAMENTO!$AF$11)),"")</f>
        <v/>
      </c>
      <c r="Y161" s="384">
        <f t="shared" ca="1" si="66"/>
        <v>0</v>
      </c>
      <c r="Z161" s="572"/>
      <c r="AB161" s="382"/>
      <c r="AC161" s="516"/>
      <c r="AD161" s="516"/>
      <c r="AE161" s="516"/>
      <c r="AF161" s="516"/>
      <c r="AG161" s="516"/>
      <c r="AH161" s="516"/>
      <c r="AI161" s="516"/>
      <c r="AJ161" s="516"/>
      <c r="AK161" s="516"/>
      <c r="AL161" s="516"/>
      <c r="AM161" s="383"/>
      <c r="AO161">
        <f ca="1">IF($A161="S",IF(BM!$I161=0,0,CHOOSE(MATCH(RegimeExecucao,{"Global","Unitário"},0),ROUND(ROUND(BM.MEDAcumulado,15-13*BM!$A$9)/100*BM!$I161,15-13*ORÇAMENTO!$AF$11),ROUND(ROUND(BM.MEDAcumulado,15-13*BM!$A$9)*ROUND(BM!$H161,15-13*ORÇAMENTO!$AF$10),15-13*ORÇAMENTO!$AF$11))),IF($A161=0,0,ROUND(SomaAgrupBM,15-13*ORÇAMENTO!$AF$11)))</f>
        <v>0</v>
      </c>
    </row>
    <row r="162" spans="1:41" x14ac:dyDescent="0.2">
      <c r="A162" t="str">
        <f ca="1">ORÇAMENTO!C162</f>
        <v>S</v>
      </c>
      <c r="B162">
        <f ca="1">ORÇAMENTO!D162</f>
        <v>0</v>
      </c>
      <c r="C162" s="116" t="str">
        <f t="shared" ca="1" si="61"/>
        <v>F</v>
      </c>
      <c r="D162" s="119" t="str">
        <f ca="1">ORÇAMENTO!O162</f>
        <v>10.2.6.</v>
      </c>
      <c r="E162" s="172" t="str">
        <f t="shared" ca="1" si="60"/>
        <v>REFLETOR 600W HOLOFOTE LED 5000LM IP66</v>
      </c>
      <c r="F162" s="173" t="str">
        <f ca="1">IF(RegimeExecucao="Global","",ORÇAMENTO.Unidade)</f>
        <v>UN</v>
      </c>
      <c r="G162" s="124">
        <f ca="1">IF(RegimeExecucao="Global","",ORÇAMENTO!T162)</f>
        <v>12</v>
      </c>
      <c r="H162" s="124">
        <f ca="1">IF(RegimeExecucao="Global","",ORÇAMENTO!W162)</f>
        <v>261.12</v>
      </c>
      <c r="I162" s="127">
        <f ca="1">ORÇAMENTO!X162</f>
        <v>3133.44</v>
      </c>
      <c r="J162" s="378">
        <f ca="1">IF($A162="S",IF(CAIXA.Modo,BM.AFAnterior,BM.MEDAnterior),IF(AND(RegimeExecucao="Global",$I162&gt;0,COUNTIF($AB$13:$AM$13,BM.medicao-1)&gt;0),M162/$I162*100,0))</f>
        <v>0</v>
      </c>
      <c r="K162" s="124">
        <f t="shared" ca="1" si="62"/>
        <v>0</v>
      </c>
      <c r="L162" s="379">
        <f ca="1">IF($A162="S",IF(CAIXA.Modo,BM.AFAcumulado,BM.MEDAcumulado),IF(AND(RegimeExecucao="Global",$I162&gt;0,COUNTIF($AB$13:$AM$13,BM.medicao)&gt;0),O162/$I162*100,0))</f>
        <v>0</v>
      </c>
      <c r="M162" s="380">
        <f ca="1">IF($A162="S",VTOTALBM,IF($A162=0,0,ROUND(SomaAgrupBM,15-13*ORÇAMENTO!$AF$11)))</f>
        <v>0</v>
      </c>
      <c r="N162" s="381">
        <f t="shared" ca="1" si="63"/>
        <v>0</v>
      </c>
      <c r="O162" s="127">
        <f ca="1">IF($A162="S",VTOTALBM,IF($A162=0,0,ROUND(SomaAgrupBM,15-13*ORÇAMENTO!$AF$11)))</f>
        <v>0</v>
      </c>
      <c r="Q162" s="382"/>
      <c r="R162" s="383"/>
      <c r="T162" s="119" t="str">
        <f t="shared" ca="1" si="64"/>
        <v/>
      </c>
      <c r="U162" s="172" t="str">
        <f t="shared" ca="1" si="65"/>
        <v/>
      </c>
      <c r="V162" s="173" t="str">
        <f ca="1">IF(AND($W162&gt;0,RegimeExecucao="Unitário"),$F162,"")</f>
        <v/>
      </c>
      <c r="W162" s="547">
        <f ca="1">IF($Y162&gt;0,CHOOSE(MATCH(RegimeExecucao,{"Unitário","Global"},0),IF($A162="S",$Y162/$X162,""),($Y162/$X162)*100),0)</f>
        <v>0</v>
      </c>
      <c r="X162" s="384" t="str">
        <f ca="1">IF($Y162&gt;0,CHOOSE(MATCH(RegimeExecucao,{"Unitário","Global"},0),IF($A162="S",ROUND($H162,ORÇAMENTO!$AF$10),""),ROUND($I162,ORÇAMENTO!$AF$11)),"")</f>
        <v/>
      </c>
      <c r="Y162" s="384">
        <f t="shared" ca="1" si="66"/>
        <v>0</v>
      </c>
      <c r="Z162" s="572"/>
      <c r="AB162" s="382"/>
      <c r="AC162" s="516"/>
      <c r="AD162" s="516"/>
      <c r="AE162" s="516"/>
      <c r="AF162" s="516"/>
      <c r="AG162" s="516"/>
      <c r="AH162" s="516"/>
      <c r="AI162" s="516"/>
      <c r="AJ162" s="516"/>
      <c r="AK162" s="516"/>
      <c r="AL162" s="516"/>
      <c r="AM162" s="383"/>
      <c r="AO162">
        <f ca="1">IF($A162="S",IF(BM!$I162=0,0,CHOOSE(MATCH(RegimeExecucao,{"Global","Unitário"},0),ROUND(ROUND(BM.MEDAcumulado,15-13*BM!$A$9)/100*BM!$I162,15-13*ORÇAMENTO!$AF$11),ROUND(ROUND(BM.MEDAcumulado,15-13*BM!$A$9)*ROUND(BM!$H162,15-13*ORÇAMENTO!$AF$10),15-13*ORÇAMENTO!$AF$11))),IF($A162=0,0,ROUND(SomaAgrupBM,15-13*ORÇAMENTO!$AF$11)))</f>
        <v>0</v>
      </c>
    </row>
    <row r="163" spans="1:41" x14ac:dyDescent="0.2">
      <c r="A163">
        <f ca="1">ORÇAMENTO!C163</f>
        <v>2</v>
      </c>
      <c r="B163">
        <f ca="1">ORÇAMENTO!D163</f>
        <v>2</v>
      </c>
      <c r="C163" s="116" t="str">
        <f t="shared" ca="1" si="61"/>
        <v>F</v>
      </c>
      <c r="D163" s="119" t="str">
        <f ca="1">ORÇAMENTO!O163</f>
        <v>10.3.</v>
      </c>
      <c r="E163" s="172" t="str">
        <f t="shared" si="60"/>
        <v xml:space="preserve">LIMPEZ DA OBRA </v>
      </c>
      <c r="F163" s="173" t="str">
        <f ca="1">IF(RegimeExecucao="Global","",ORÇAMENTO.Unidade)</f>
        <v>-</v>
      </c>
      <c r="G163" s="124">
        <f ca="1">IF(RegimeExecucao="Global","",ORÇAMENTO!T163)</f>
        <v>0</v>
      </c>
      <c r="H163" s="124">
        <f ca="1">IF(RegimeExecucao="Global","",ORÇAMENTO!W163)</f>
        <v>0</v>
      </c>
      <c r="I163" s="127">
        <f ca="1">ORÇAMENTO!X163</f>
        <v>152.36000000000001</v>
      </c>
      <c r="J163" s="378">
        <f ca="1">IF($A163="S",IF(CAIXA.Modo,BM.AFAnterior,BM.MEDAnterior),IF(AND(RegimeExecucao="Global",$I163&gt;0,COUNTIF($AB$13:$AM$13,BM.medicao-1)&gt;0),M163/$I163*100,0))</f>
        <v>0</v>
      </c>
      <c r="K163" s="124">
        <f t="shared" ca="1" si="62"/>
        <v>0</v>
      </c>
      <c r="L163" s="379">
        <f ca="1">IF($A163="S",IF(CAIXA.Modo,BM.AFAcumulado,BM.MEDAcumulado),IF(AND(RegimeExecucao="Global",$I163&gt;0,COUNTIF($AB$13:$AM$13,BM.medicao)&gt;0),O163/$I163*100,0))</f>
        <v>0</v>
      </c>
      <c r="M163" s="380">
        <f ca="1">IF($A163="S",VTOTALBM,IF($A163=0,0,ROUND(SomaAgrupBM,15-13*ORÇAMENTO!$AF$11)))</f>
        <v>0</v>
      </c>
      <c r="N163" s="381">
        <f t="shared" ca="1" si="63"/>
        <v>0</v>
      </c>
      <c r="O163" s="127">
        <f ca="1">IF($A163="S",VTOTALBM,IF($A163=0,0,ROUND(SomaAgrupBM,15-13*ORÇAMENTO!$AF$11)))</f>
        <v>0</v>
      </c>
      <c r="Q163" s="382"/>
      <c r="R163" s="383"/>
      <c r="T163" s="119" t="str">
        <f t="shared" ca="1" si="64"/>
        <v/>
      </c>
      <c r="U163" s="172" t="str">
        <f t="shared" ca="1" si="65"/>
        <v/>
      </c>
      <c r="V163" s="173" t="str">
        <f ca="1">IF(AND($W163&gt;0,RegimeExecucao="Unitário"),$F163,"")</f>
        <v/>
      </c>
      <c r="W163" s="547">
        <f ca="1">IF($Y163&gt;0,CHOOSE(MATCH(RegimeExecucao,{"Unitário","Global"},0),IF($A163="S",$Y163/$X163,""),($Y163/$X163)*100),0)</f>
        <v>0</v>
      </c>
      <c r="X163" s="384" t="str">
        <f ca="1">IF($Y163&gt;0,CHOOSE(MATCH(RegimeExecucao,{"Unitário","Global"},0),IF($A163="S",ROUND($H163,ORÇAMENTO!$AF$10),""),ROUND($I163,ORÇAMENTO!$AF$11)),"")</f>
        <v/>
      </c>
      <c r="Y163" s="384">
        <f t="shared" ca="1" si="66"/>
        <v>0</v>
      </c>
      <c r="Z163" s="572"/>
      <c r="AB163" s="382"/>
      <c r="AC163" s="516"/>
      <c r="AD163" s="516"/>
      <c r="AE163" s="516"/>
      <c r="AF163" s="516"/>
      <c r="AG163" s="516"/>
      <c r="AH163" s="516"/>
      <c r="AI163" s="516"/>
      <c r="AJ163" s="516"/>
      <c r="AK163" s="516"/>
      <c r="AL163" s="516"/>
      <c r="AM163" s="383"/>
      <c r="AO163">
        <f ca="1">IF($A163="S",IF(BM!$I163=0,0,CHOOSE(MATCH(RegimeExecucao,{"Global","Unitário"},0),ROUND(ROUND(BM.MEDAcumulado,15-13*BM!$A$9)/100*BM!$I163,15-13*ORÇAMENTO!$AF$11),ROUND(ROUND(BM.MEDAcumulado,15-13*BM!$A$9)*ROUND(BM!$H163,15-13*ORÇAMENTO!$AF$10),15-13*ORÇAMENTO!$AF$11))),IF($A163=0,0,ROUND(SomaAgrupBM,15-13*ORÇAMENTO!$AF$11)))</f>
        <v>0</v>
      </c>
    </row>
    <row r="164" spans="1:41" ht="25.5" x14ac:dyDescent="0.2">
      <c r="A164" t="str">
        <f ca="1">ORÇAMENTO!C164</f>
        <v>S</v>
      </c>
      <c r="B164">
        <f ca="1">ORÇAMENTO!D164</f>
        <v>0</v>
      </c>
      <c r="C164" s="116" t="str">
        <f t="shared" ca="1" si="61"/>
        <v>F</v>
      </c>
      <c r="D164" s="119" t="str">
        <f ca="1">ORÇAMENTO!O164</f>
        <v>10.3.1.</v>
      </c>
      <c r="E164" s="172" t="str">
        <f t="shared" ca="1" si="60"/>
        <v>LIMPEZA DE PISO CERÂMICO OU PORCELANATO COM VASSOURA A SECO. AF_10/2025</v>
      </c>
      <c r="F164" s="173" t="str">
        <f ca="1">IF(RegimeExecucao="Global","",ORÇAMENTO.Unidade)</f>
        <v>M2</v>
      </c>
      <c r="G164" s="124">
        <f ca="1">IF(RegimeExecucao="Global","",ORÇAMENTO!T164)</f>
        <v>195.33</v>
      </c>
      <c r="H164" s="124">
        <f ca="1">IF(RegimeExecucao="Global","",ORÇAMENTO!W164)</f>
        <v>0.78</v>
      </c>
      <c r="I164" s="127">
        <f ca="1">ORÇAMENTO!X164</f>
        <v>152.36000000000001</v>
      </c>
      <c r="J164" s="378">
        <f ca="1">IF($A164="S",IF(CAIXA.Modo,BM.AFAnterior,BM.MEDAnterior),IF(AND(RegimeExecucao="Global",$I164&gt;0,COUNTIF($AB$13:$AM$13,BM.medicao-1)&gt;0),M164/$I164*100,0))</f>
        <v>0</v>
      </c>
      <c r="K164" s="124">
        <f t="shared" ca="1" si="62"/>
        <v>0</v>
      </c>
      <c r="L164" s="379">
        <f ca="1">IF($A164="S",IF(CAIXA.Modo,BM.AFAcumulado,BM.MEDAcumulado),IF(AND(RegimeExecucao="Global",$I164&gt;0,COUNTIF($AB$13:$AM$13,BM.medicao)&gt;0),O164/$I164*100,0))</f>
        <v>0</v>
      </c>
      <c r="M164" s="380">
        <f ca="1">IF($A164="S",VTOTALBM,IF($A164=0,0,ROUND(SomaAgrupBM,15-13*ORÇAMENTO!$AF$11)))</f>
        <v>0</v>
      </c>
      <c r="N164" s="381">
        <f t="shared" ca="1" si="63"/>
        <v>0</v>
      </c>
      <c r="O164" s="127">
        <f ca="1">IF($A164="S",VTOTALBM,IF($A164=0,0,ROUND(SomaAgrupBM,15-13*ORÇAMENTO!$AF$11)))</f>
        <v>0</v>
      </c>
      <c r="Q164" s="382"/>
      <c r="R164" s="383"/>
      <c r="T164" s="119" t="str">
        <f t="shared" ca="1" si="64"/>
        <v/>
      </c>
      <c r="U164" s="172" t="str">
        <f t="shared" ca="1" si="65"/>
        <v/>
      </c>
      <c r="V164" s="173" t="str">
        <f ca="1">IF(AND($W164&gt;0,RegimeExecucao="Unitário"),$F164,"")</f>
        <v/>
      </c>
      <c r="W164" s="547">
        <f ca="1">IF($Y164&gt;0,CHOOSE(MATCH(RegimeExecucao,{"Unitário","Global"},0),IF($A164="S",$Y164/$X164,""),($Y164/$X164)*100),0)</f>
        <v>0</v>
      </c>
      <c r="X164" s="384" t="str">
        <f ca="1">IF($Y164&gt;0,CHOOSE(MATCH(RegimeExecucao,{"Unitário","Global"},0),IF($A164="S",ROUND($H164,ORÇAMENTO!$AF$10),""),ROUND($I164,ORÇAMENTO!$AF$11)),"")</f>
        <v/>
      </c>
      <c r="Y164" s="384">
        <f t="shared" ca="1" si="66"/>
        <v>0</v>
      </c>
      <c r="Z164" s="572"/>
      <c r="AB164" s="382"/>
      <c r="AC164" s="516"/>
      <c r="AD164" s="516"/>
      <c r="AE164" s="516"/>
      <c r="AF164" s="516"/>
      <c r="AG164" s="516"/>
      <c r="AH164" s="516"/>
      <c r="AI164" s="516"/>
      <c r="AJ164" s="516"/>
      <c r="AK164" s="516"/>
      <c r="AL164" s="516"/>
      <c r="AM164" s="383"/>
      <c r="AO164">
        <f ca="1">IF($A164="S",IF(BM!$I164=0,0,CHOOSE(MATCH(RegimeExecucao,{"Global","Unitário"},0),ROUND(ROUND(BM.MEDAcumulado,15-13*BM!$A$9)/100*BM!$I164,15-13*ORÇAMENTO!$AF$11),ROUND(ROUND(BM.MEDAcumulado,15-13*BM!$A$9)*ROUND(BM!$H164,15-13*ORÇAMENTO!$AF$10),15-13*ORÇAMENTO!$AF$11))),IF($A164=0,0,ROUND(SomaAgrupBM,15-13*ORÇAMENTO!$AF$11)))</f>
        <v>0</v>
      </c>
    </row>
    <row r="165" spans="1:41" ht="5.0999999999999996" customHeight="1" x14ac:dyDescent="0.2">
      <c r="C165" s="116" t="s">
        <v>246</v>
      </c>
      <c r="D165" s="484"/>
      <c r="E165" s="485"/>
      <c r="F165" s="485"/>
      <c r="G165" s="485"/>
      <c r="H165" s="485"/>
      <c r="I165" s="486"/>
      <c r="J165" s="484"/>
      <c r="K165" s="485"/>
      <c r="L165" s="486"/>
      <c r="M165" s="513"/>
      <c r="N165" s="514"/>
      <c r="O165" s="515"/>
      <c r="Q165" s="484"/>
      <c r="R165" s="486"/>
      <c r="T165" s="484"/>
      <c r="U165" s="485"/>
      <c r="V165" s="485"/>
      <c r="W165" s="485"/>
      <c r="X165" s="485"/>
      <c r="Y165" s="485"/>
      <c r="Z165" s="486"/>
      <c r="AB165" s="484"/>
      <c r="AC165" s="485"/>
      <c r="AD165" s="485"/>
      <c r="AE165" s="485"/>
      <c r="AF165" s="485"/>
      <c r="AG165" s="485"/>
      <c r="AH165" s="485"/>
      <c r="AI165" s="485"/>
      <c r="AJ165" s="485"/>
      <c r="AK165" s="485"/>
      <c r="AL165" s="485"/>
      <c r="AM165" s="486"/>
    </row>
    <row r="167" spans="1:41" ht="14.25" x14ac:dyDescent="0.2">
      <c r="D167" s="681" t="s">
        <v>187</v>
      </c>
      <c r="E167" s="681"/>
      <c r="F167" s="681"/>
      <c r="G167" s="681"/>
      <c r="H167" s="681"/>
      <c r="I167" s="681"/>
      <c r="J167" s="681"/>
      <c r="K167" s="681"/>
      <c r="L167" s="681"/>
      <c r="M167" s="681"/>
      <c r="N167" s="681"/>
      <c r="O167" s="681"/>
      <c r="T167" s="682" t="s">
        <v>353</v>
      </c>
      <c r="U167" s="682"/>
      <c r="V167" s="682"/>
      <c r="W167" s="682"/>
      <c r="X167" s="682"/>
      <c r="Y167" s="682"/>
      <c r="Z167" s="682"/>
    </row>
    <row r="168" spans="1:41" ht="12.75" customHeight="1" x14ac:dyDescent="0.2">
      <c r="D168" s="620"/>
      <c r="E168" s="620"/>
      <c r="F168" s="620"/>
      <c r="G168" s="620"/>
      <c r="H168" s="620"/>
      <c r="I168" s="620"/>
      <c r="J168" s="620"/>
      <c r="K168" s="620"/>
      <c r="L168" s="620"/>
      <c r="M168" s="620"/>
      <c r="N168" s="620"/>
      <c r="O168" s="620"/>
      <c r="T168" s="683"/>
      <c r="U168" s="683"/>
      <c r="V168" s="683"/>
      <c r="W168" s="683"/>
      <c r="X168" s="683"/>
      <c r="Y168" s="683"/>
      <c r="Z168" s="683"/>
    </row>
    <row r="169" spans="1:41" ht="12.75" customHeight="1" x14ac:dyDescent="0.2">
      <c r="D169" s="620"/>
      <c r="E169" s="620"/>
      <c r="F169" s="620"/>
      <c r="G169" s="620"/>
      <c r="H169" s="620"/>
      <c r="I169" s="620"/>
      <c r="J169" s="620"/>
      <c r="K169" s="620"/>
      <c r="L169" s="620"/>
      <c r="M169" s="620"/>
      <c r="N169" s="620"/>
      <c r="O169" s="620"/>
      <c r="T169" s="683"/>
      <c r="U169" s="683"/>
      <c r="V169" s="683"/>
      <c r="W169" s="683"/>
      <c r="X169" s="683"/>
      <c r="Y169" s="683"/>
      <c r="Z169" s="683"/>
    </row>
    <row r="170" spans="1:41" ht="12.75" customHeight="1" x14ac:dyDescent="0.2">
      <c r="D170" s="620"/>
      <c r="E170" s="620"/>
      <c r="F170" s="620"/>
      <c r="G170" s="620"/>
      <c r="H170" s="620"/>
      <c r="I170" s="620"/>
      <c r="J170" s="620"/>
      <c r="K170" s="620"/>
      <c r="L170" s="620"/>
      <c r="M170" s="620"/>
      <c r="N170" s="620"/>
      <c r="O170" s="620"/>
      <c r="T170" s="683"/>
      <c r="U170" s="683"/>
      <c r="V170" s="683"/>
      <c r="W170" s="683"/>
      <c r="X170" s="683"/>
      <c r="Y170" s="683"/>
      <c r="Z170" s="683"/>
    </row>
    <row r="171" spans="1:41" ht="14.25" x14ac:dyDescent="0.2">
      <c r="D171" s="534"/>
      <c r="E171" s="534"/>
      <c r="F171" s="534"/>
      <c r="G171" s="534"/>
      <c r="H171" s="534"/>
      <c r="I171" s="534"/>
      <c r="J171" s="534"/>
      <c r="K171" s="534"/>
      <c r="L171" s="534"/>
      <c r="M171" s="534"/>
      <c r="N171" s="534"/>
      <c r="O171" s="534"/>
    </row>
    <row r="172" spans="1:41" ht="15" customHeight="1" x14ac:dyDescent="0.25">
      <c r="D172" s="621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172" s="621"/>
      <c r="F172" s="621"/>
      <c r="G172" s="621"/>
      <c r="H172" s="621"/>
      <c r="I172" s="621"/>
      <c r="J172" s="621"/>
      <c r="K172" s="621"/>
      <c r="L172" s="621"/>
    </row>
    <row r="173" spans="1:41" x14ac:dyDescent="0.2">
      <c r="D173" s="679"/>
      <c r="E173" s="679"/>
      <c r="F173" s="679"/>
      <c r="G173" s="679"/>
      <c r="H173" s="679"/>
      <c r="I173" s="679"/>
    </row>
    <row r="174" spans="1:41" x14ac:dyDescent="0.2">
      <c r="D174" s="67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174" s="677"/>
      <c r="F174" s="677"/>
      <c r="G174" s="677"/>
      <c r="H174" s="677"/>
      <c r="I174" s="677"/>
      <c r="J174" s="677"/>
      <c r="K174" s="677"/>
      <c r="L174" s="677"/>
      <c r="M174" s="677"/>
      <c r="N174" s="677"/>
      <c r="O174" s="677"/>
    </row>
    <row r="175" spans="1:41" ht="39.950000000000003" customHeight="1" x14ac:dyDescent="0.2">
      <c r="E175" s="144" t="str">
        <f>Import.Município</f>
        <v xml:space="preserve">ÁGUAS DE CHAPECÓ </v>
      </c>
      <c r="J175" s="678"/>
      <c r="K175" s="678"/>
      <c r="L175" s="678"/>
      <c r="M175" s="678"/>
      <c r="W175" s="678"/>
      <c r="X175" s="678"/>
      <c r="Y175" s="678"/>
      <c r="Z175" s="678"/>
    </row>
    <row r="176" spans="1:41" x14ac:dyDescent="0.2">
      <c r="E176" s="10" t="s">
        <v>188</v>
      </c>
      <c r="J176" s="195" t="s">
        <v>302</v>
      </c>
      <c r="W176" s="195" t="s">
        <v>354</v>
      </c>
    </row>
    <row r="177" spans="5:26" x14ac:dyDescent="0.2">
      <c r="J177" s="78" t="s">
        <v>108</v>
      </c>
      <c r="K177" s="312" t="str">
        <f t="array" ref="K177:K180">Import.RespFiscalização</f>
        <v>RENATA LORENZET</v>
      </c>
      <c r="L177" s="79"/>
      <c r="W177" s="78" t="s">
        <v>108</v>
      </c>
      <c r="X177" s="676"/>
      <c r="Y177" s="676"/>
      <c r="Z177" s="676"/>
    </row>
    <row r="178" spans="5:26" x14ac:dyDescent="0.2">
      <c r="E178" s="552">
        <f ca="1">DADOS!$F$48</f>
        <v>46310</v>
      </c>
      <c r="J178" s="78" t="s">
        <v>127</v>
      </c>
      <c r="K178" s="312" t="str">
        <v>ENGENHEIRA CIVIL</v>
      </c>
      <c r="L178" s="79"/>
      <c r="W178" s="78" t="s">
        <v>355</v>
      </c>
      <c r="X178" s="676"/>
      <c r="Y178" s="676"/>
      <c r="Z178" s="676"/>
    </row>
    <row r="179" spans="5:26" x14ac:dyDescent="0.2">
      <c r="E179" s="146" t="s">
        <v>189</v>
      </c>
      <c r="J179" s="78" t="s">
        <v>109</v>
      </c>
      <c r="K179" s="312" t="str">
        <v>207.601-3</v>
      </c>
      <c r="L179" s="79"/>
      <c r="W179" s="78" t="s">
        <v>109</v>
      </c>
      <c r="X179" s="676"/>
      <c r="Y179" s="676"/>
      <c r="Z179" s="676"/>
    </row>
    <row r="180" spans="5:26" x14ac:dyDescent="0.2">
      <c r="J180" s="78" t="s">
        <v>110</v>
      </c>
      <c r="K180" s="13">
        <v>0</v>
      </c>
      <c r="W180" s="78"/>
      <c r="X180" s="13"/>
    </row>
  </sheetData>
  <sheetProtection algorithmName="SHA-512" hashValue="iI2DKXGGb57dz3EhMbdgzUje00TsBRXIZUmRuL81bo857QehByj8wWHMMHL9lGjcG0yUgOIfR1xFivuFqUQgQA==" saltValue="bVvtgBC825k7j9wGY3po4g==" spinCount="100000" sheet="1" objects="1" scenarios="1" autoFilter="0"/>
  <autoFilter ref="C15:C165" xr:uid="{00000000-0009-0000-0000-00000B000000}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172:L172"/>
    <mergeCell ref="D173:I173"/>
    <mergeCell ref="AB15:AM15"/>
    <mergeCell ref="D167:O167"/>
    <mergeCell ref="T167:Z167"/>
    <mergeCell ref="D168:O170"/>
    <mergeCell ref="T168:Z170"/>
    <mergeCell ref="D15:E15"/>
    <mergeCell ref="X179:Z179"/>
    <mergeCell ref="D174:O174"/>
    <mergeCell ref="J175:M175"/>
    <mergeCell ref="W175:Z175"/>
    <mergeCell ref="X177:Z177"/>
    <mergeCell ref="X178:Z178"/>
  </mergeCells>
  <phoneticPr fontId="38" type="noConversion"/>
  <conditionalFormatting sqref="D14:O14 T14:Z14 D16:O52 T16:Z52 D65:O69 T65:Z69 D71:O164 T71:Z164">
    <cfRule type="expression" dxfId="67" priority="2553" stopIfTrue="1">
      <formula>OR(ACOMPANHAMENTO="PLE",TIPOORCAMENTO="Proposto",$L14&lt;0,AND($L14&gt;100,RegimeExecucao="Global"),$O14&gt;$I14,$O14&lt;0)</formula>
    </cfRule>
    <cfRule type="expression" dxfId="66" priority="2554" stopIfTrue="1">
      <formula>$A14=1</formula>
    </cfRule>
    <cfRule type="expression" dxfId="65" priority="2555" stopIfTrue="1">
      <formula>$A14&lt;&gt;"S"</formula>
    </cfRule>
  </conditionalFormatting>
  <conditionalFormatting sqref="Q14:R14 AB14:AM14 Q16:R52 AB16:AM52 Q65:R69 AB65:AM69 Q71:R164 AB71:AM164">
    <cfRule type="expression" dxfId="64" priority="2556" stopIfTrue="1">
      <formula>$A14=1</formula>
    </cfRule>
    <cfRule type="expression" dxfId="63" priority="2557" stopIfTrue="1">
      <formula>$A14&lt;&gt;"S"</formula>
    </cfRule>
  </conditionalFormatting>
  <conditionalFormatting sqref="E2">
    <cfRule type="expression" dxfId="62" priority="2558" stopIfTrue="1">
      <formula>Import.RegimeExecução="(SELECIONAR)"</formula>
    </cfRule>
  </conditionalFormatting>
  <conditionalFormatting sqref="F13:H13">
    <cfRule type="expression" dxfId="61" priority="2559" stopIfTrue="1">
      <formula>RegimeExecucao="Global"</formula>
    </cfRule>
  </conditionalFormatting>
  <conditionalFormatting sqref="D15:O15">
    <cfRule type="expression" dxfId="60" priority="2560" stopIfTrue="1">
      <formula>OR(ACOMPANHAMENTO="PLE",TIPOORCAMENTO="Proposto")</formula>
    </cfRule>
  </conditionalFormatting>
  <conditionalFormatting sqref="AB13">
    <cfRule type="cellIs" dxfId="59" priority="2561" stopIfTrue="1" operator="notEqual">
      <formula>1</formula>
    </cfRule>
  </conditionalFormatting>
  <conditionalFormatting sqref="D53:O53 T53:Z53 T70:Z70 D70:O70">
    <cfRule type="expression" dxfId="58" priority="251" stopIfTrue="1">
      <formula>OR(ACOMPANHAMENTO="PLE",TIPOORCAMENTO="Proposto",$L53&lt;0,AND($L53&gt;100,RegimeExecucao="Global"),$O53&gt;$I53,$O53&lt;0)</formula>
    </cfRule>
    <cfRule type="expression" dxfId="57" priority="252" stopIfTrue="1">
      <formula>$A53=1</formula>
    </cfRule>
    <cfRule type="expression" dxfId="56" priority="253" stopIfTrue="1">
      <formula>$A53&lt;&gt;"S"</formula>
    </cfRule>
  </conditionalFormatting>
  <conditionalFormatting sqref="Q53:R53 AB53:AM53 AB70:AM70 Q70:R70">
    <cfRule type="expression" dxfId="55" priority="254" stopIfTrue="1">
      <formula>$A53=1</formula>
    </cfRule>
    <cfRule type="expression" dxfId="54" priority="255" stopIfTrue="1">
      <formula>$A53&lt;&gt;"S"</formula>
    </cfRule>
  </conditionalFormatting>
  <conditionalFormatting sqref="D63:O63 T63:Z63">
    <cfRule type="expression" dxfId="53" priority="76" stopIfTrue="1">
      <formula>OR(ACOMPANHAMENTO="PLE",TIPOORCAMENTO="Proposto",$L63&lt;0,AND($L63&gt;100,RegimeExecucao="Global"),$O63&gt;$I63,$O63&lt;0)</formula>
    </cfRule>
    <cfRule type="expression" dxfId="52" priority="77" stopIfTrue="1">
      <formula>$A63=1</formula>
    </cfRule>
    <cfRule type="expression" dxfId="51" priority="78" stopIfTrue="1">
      <formula>$A63&lt;&gt;"S"</formula>
    </cfRule>
  </conditionalFormatting>
  <conditionalFormatting sqref="Q63:R63 AB63:AM63">
    <cfRule type="expression" dxfId="50" priority="79" stopIfTrue="1">
      <formula>$A63=1</formula>
    </cfRule>
    <cfRule type="expression" dxfId="49" priority="80" stopIfTrue="1">
      <formula>$A63&lt;&gt;"S"</formula>
    </cfRule>
  </conditionalFormatting>
  <conditionalFormatting sqref="D54:O54 T54:Z54">
    <cfRule type="expression" dxfId="48" priority="66" stopIfTrue="1">
      <formula>OR(ACOMPANHAMENTO="PLE",TIPOORCAMENTO="Proposto",$L54&lt;0,AND($L54&gt;100,RegimeExecucao="Global"),$O54&gt;$I54,$O54&lt;0)</formula>
    </cfRule>
    <cfRule type="expression" dxfId="47" priority="67" stopIfTrue="1">
      <formula>$A54=1</formula>
    </cfRule>
    <cfRule type="expression" dxfId="46" priority="68" stopIfTrue="1">
      <formula>$A54&lt;&gt;"S"</formula>
    </cfRule>
  </conditionalFormatting>
  <conditionalFormatting sqref="Q54:R54 AB54:AM54">
    <cfRule type="expression" dxfId="45" priority="69" stopIfTrue="1">
      <formula>$A54=1</formula>
    </cfRule>
    <cfRule type="expression" dxfId="44" priority="70" stopIfTrue="1">
      <formula>$A54&lt;&gt;"S"</formula>
    </cfRule>
  </conditionalFormatting>
  <conditionalFormatting sqref="D62:O62 T62:Z62">
    <cfRule type="expression" dxfId="43" priority="61" stopIfTrue="1">
      <formula>OR(ACOMPANHAMENTO="PLE",TIPOORCAMENTO="Proposto",$L62&lt;0,AND($L62&gt;100,RegimeExecucao="Global"),$O62&gt;$I62,$O62&lt;0)</formula>
    </cfRule>
    <cfRule type="expression" dxfId="42" priority="62" stopIfTrue="1">
      <formula>$A62=1</formula>
    </cfRule>
    <cfRule type="expression" dxfId="41" priority="63" stopIfTrue="1">
      <formula>$A62&lt;&gt;"S"</formula>
    </cfRule>
  </conditionalFormatting>
  <conditionalFormatting sqref="Q62:R62 AB62:AM62">
    <cfRule type="expression" dxfId="40" priority="64" stopIfTrue="1">
      <formula>$A62=1</formula>
    </cfRule>
    <cfRule type="expression" dxfId="39" priority="65" stopIfTrue="1">
      <formula>$A62&lt;&gt;"S"</formula>
    </cfRule>
  </conditionalFormatting>
  <conditionalFormatting sqref="D55:O57 T55:Z57">
    <cfRule type="expression" dxfId="38" priority="46" stopIfTrue="1">
      <formula>OR(ACOMPANHAMENTO="PLE",TIPOORCAMENTO="Proposto",$L55&lt;0,AND($L55&gt;100,RegimeExecucao="Global"),$O55&gt;$I55,$O55&lt;0)</formula>
    </cfRule>
    <cfRule type="expression" dxfId="37" priority="47" stopIfTrue="1">
      <formula>$A55=1</formula>
    </cfRule>
    <cfRule type="expression" dxfId="36" priority="48" stopIfTrue="1">
      <formula>$A55&lt;&gt;"S"</formula>
    </cfRule>
  </conditionalFormatting>
  <conditionalFormatting sqref="Q55:R57 AB55:AM57">
    <cfRule type="expression" dxfId="35" priority="49" stopIfTrue="1">
      <formula>$A55=1</formula>
    </cfRule>
    <cfRule type="expression" dxfId="34" priority="50" stopIfTrue="1">
      <formula>$A55&lt;&gt;"S"</formula>
    </cfRule>
  </conditionalFormatting>
  <conditionalFormatting sqref="D59:O59 T59:Z59">
    <cfRule type="expression" dxfId="33" priority="41" stopIfTrue="1">
      <formula>OR(ACOMPANHAMENTO="PLE",TIPOORCAMENTO="Proposto",$L59&lt;0,AND($L59&gt;100,RegimeExecucao="Global"),$O59&gt;$I59,$O59&lt;0)</formula>
    </cfRule>
    <cfRule type="expression" dxfId="32" priority="42" stopIfTrue="1">
      <formula>$A59=1</formula>
    </cfRule>
    <cfRule type="expression" dxfId="31" priority="43" stopIfTrue="1">
      <formula>$A59&lt;&gt;"S"</formula>
    </cfRule>
  </conditionalFormatting>
  <conditionalFormatting sqref="Q59:R59 AB59:AM59">
    <cfRule type="expression" dxfId="30" priority="44" stopIfTrue="1">
      <formula>$A59=1</formula>
    </cfRule>
    <cfRule type="expression" dxfId="29" priority="45" stopIfTrue="1">
      <formula>$A59&lt;&gt;"S"</formula>
    </cfRule>
  </conditionalFormatting>
  <conditionalFormatting sqref="D64:O64 T64:Z64">
    <cfRule type="expression" dxfId="28" priority="26" stopIfTrue="1">
      <formula>OR(ACOMPANHAMENTO="PLE",TIPOORCAMENTO="Proposto",$L64&lt;0,AND($L64&gt;100,RegimeExecucao="Global"),$O64&gt;$I64,$O64&lt;0)</formula>
    </cfRule>
    <cfRule type="expression" dxfId="27" priority="27" stopIfTrue="1">
      <formula>$A64=1</formula>
    </cfRule>
    <cfRule type="expression" dxfId="26" priority="28" stopIfTrue="1">
      <formula>$A64&lt;&gt;"S"</formula>
    </cfRule>
  </conditionalFormatting>
  <conditionalFormatting sqref="Q64:R64 AB64:AM64">
    <cfRule type="expression" dxfId="25" priority="29" stopIfTrue="1">
      <formula>$A64=1</formula>
    </cfRule>
    <cfRule type="expression" dxfId="24" priority="30" stopIfTrue="1">
      <formula>$A64&lt;&gt;"S"</formula>
    </cfRule>
  </conditionalFormatting>
  <conditionalFormatting sqref="D61:O61 T61:Z61">
    <cfRule type="expression" dxfId="23" priority="21" stopIfTrue="1">
      <formula>OR(ACOMPANHAMENTO="PLE",TIPOORCAMENTO="Proposto",$L61&lt;0,AND($L61&gt;100,RegimeExecucao="Global"),$O61&gt;$I61,$O61&lt;0)</formula>
    </cfRule>
    <cfRule type="expression" dxfId="22" priority="22" stopIfTrue="1">
      <formula>$A61=1</formula>
    </cfRule>
    <cfRule type="expression" dxfId="21" priority="23" stopIfTrue="1">
      <formula>$A61&lt;&gt;"S"</formula>
    </cfRule>
  </conditionalFormatting>
  <conditionalFormatting sqref="Q61:R61 AB61:AM61">
    <cfRule type="expression" dxfId="20" priority="24" stopIfTrue="1">
      <formula>$A61=1</formula>
    </cfRule>
    <cfRule type="expression" dxfId="19" priority="25" stopIfTrue="1">
      <formula>$A61&lt;&gt;"S"</formula>
    </cfRule>
  </conditionalFormatting>
  <conditionalFormatting sqref="D58:O58 T58:Z58">
    <cfRule type="expression" dxfId="18" priority="16" stopIfTrue="1">
      <formula>OR(ACOMPANHAMENTO="PLE",TIPOORCAMENTO="Proposto",$L58&lt;0,AND($L58&gt;100,RegimeExecucao="Global"),$O58&gt;$I58,$O58&lt;0)</formula>
    </cfRule>
    <cfRule type="expression" dxfId="17" priority="17" stopIfTrue="1">
      <formula>$A58=1</formula>
    </cfRule>
    <cfRule type="expression" dxfId="16" priority="18" stopIfTrue="1">
      <formula>$A58&lt;&gt;"S"</formula>
    </cfRule>
  </conditionalFormatting>
  <conditionalFormatting sqref="Q58:R58 AB58:AM58">
    <cfRule type="expression" dxfId="15" priority="19" stopIfTrue="1">
      <formula>$A58=1</formula>
    </cfRule>
    <cfRule type="expression" dxfId="14" priority="20" stopIfTrue="1">
      <formula>$A58&lt;&gt;"S"</formula>
    </cfRule>
  </conditionalFormatting>
  <conditionalFormatting sqref="D60:O60 T60:Z60">
    <cfRule type="expression" dxfId="13" priority="11" stopIfTrue="1">
      <formula>OR(ACOMPANHAMENTO="PLE",TIPOORCAMENTO="Proposto",$L60&lt;0,AND($L60&gt;100,RegimeExecucao="Global"),$O60&gt;$I60,$O60&lt;0)</formula>
    </cfRule>
    <cfRule type="expression" dxfId="12" priority="12" stopIfTrue="1">
      <formula>$A60=1</formula>
    </cfRule>
    <cfRule type="expression" dxfId="11" priority="13" stopIfTrue="1">
      <formula>$A60&lt;&gt;"S"</formula>
    </cfRule>
  </conditionalFormatting>
  <conditionalFormatting sqref="Q60:R60 AB60:AM60">
    <cfRule type="expression" dxfId="10" priority="14" stopIfTrue="1">
      <formula>$A60=1</formula>
    </cfRule>
    <cfRule type="expression" dxfId="9" priority="15" stopIfTrue="1">
      <formula>$A60&lt;&gt;"S"</formula>
    </cfRule>
  </conditionalFormatting>
  <dataValidations count="4">
    <dataValidation type="list" allowBlank="1" showErrorMessage="1" sqref="Z14 Z16:Z164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164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164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11" t="s">
        <v>147</v>
      </c>
      <c r="F3" s="611"/>
      <c r="G3" s="611"/>
      <c r="H3" s="611"/>
      <c r="I3" s="600" t="s">
        <v>146</v>
      </c>
      <c r="J3" s="600"/>
      <c r="K3" s="600"/>
      <c r="L3" s="89" t="s">
        <v>443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6" t="str">
        <f>Import.Proponente</f>
        <v>PREFEITURA MUNICIPAL DE ÁGUAS DE CHAPECÓ</v>
      </c>
      <c r="F4" s="616"/>
      <c r="G4" s="616"/>
      <c r="H4" s="616"/>
      <c r="I4" s="603">
        <f>Import.CR</f>
        <v>0</v>
      </c>
      <c r="J4" s="603"/>
      <c r="K4" s="603"/>
      <c r="L4" s="57">
        <f>Import.TransfereGOV</f>
        <v>0</v>
      </c>
      <c r="M4" s="689" t="s">
        <v>307</v>
      </c>
      <c r="N4" s="690"/>
      <c r="O4" s="691"/>
      <c r="P4" s="397" t="str">
        <f>import.recurso</f>
        <v>(SELECIONAR)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600" t="s">
        <v>202</v>
      </c>
      <c r="F6" s="600"/>
      <c r="G6" s="600"/>
      <c r="H6" s="600"/>
      <c r="I6" s="716" t="s">
        <v>306</v>
      </c>
      <c r="J6" s="716"/>
      <c r="K6" s="716"/>
      <c r="L6" s="716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593" t="s">
        <v>209</v>
      </c>
      <c r="E7" s="603" t="str">
        <f>Import.Apelido</f>
        <v>SEDE ESPORTIVA, ILUMINAÇÃO E ALAMBRADO DO CAMPO</v>
      </c>
      <c r="F7" s="603"/>
      <c r="G7" s="603"/>
      <c r="H7" s="603"/>
      <c r="I7" s="713" t="str">
        <f>Import.Município</f>
        <v xml:space="preserve">ÁGUAS DE CHAPECÓ </v>
      </c>
      <c r="J7" s="713"/>
      <c r="K7" s="713"/>
      <c r="L7" s="713"/>
      <c r="M7" s="399">
        <f>Import.Repasse</f>
        <v>0</v>
      </c>
      <c r="N7" s="400">
        <f>Import.Contrapartida</f>
        <v>0</v>
      </c>
      <c r="O7" s="399">
        <f>M7+N7</f>
        <v>0</v>
      </c>
      <c r="P7" s="491">
        <f ca="1">IF(ACOMPANHAMENTO="PLE",PLE.Medicao,BM.medicao)</f>
        <v>1</v>
      </c>
      <c r="R7" s="152"/>
      <c r="S7" s="152"/>
      <c r="T7" s="152"/>
      <c r="U7" s="152"/>
    </row>
    <row r="8" spans="1:41" x14ac:dyDescent="0.2">
      <c r="D8" s="5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593"/>
      <c r="G9" s="714" t="s">
        <v>361</v>
      </c>
      <c r="H9" s="714"/>
      <c r="I9" s="714" t="s">
        <v>362</v>
      </c>
      <c r="J9" s="714"/>
      <c r="K9" s="401"/>
      <c r="L9" s="715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593"/>
      <c r="G10" s="605" t="str">
        <f ca="1">IF(J10="-","-",IF($P$24&lt;J10,"Atrasada",IF($P$24&gt;J10,"Adiantada","Normal")))</f>
        <v>Normal</v>
      </c>
      <c r="H10" s="605"/>
      <c r="I10" s="404">
        <f ca="1">DATE(YEAR($L$35),MONTH($L$35),1)</f>
        <v>46296</v>
      </c>
      <c r="J10" s="405">
        <f ca="1">IF($I$10&lt;DATE(YEAR(CRONO!$T$13),MONTH(CRONO!$T$13),1),0,IF($I$10&gt;CRONO!$AE$13,1,INDEX(CRONO!$S$119:$AG$119,MATCH(RRE!$I$10,CRONO!$S$13:$AG$13,0))))</f>
        <v>0</v>
      </c>
      <c r="K10" s="401"/>
      <c r="L10" s="715"/>
      <c r="M10" s="406">
        <f ca="1">QCI!L10</f>
        <v>0</v>
      </c>
      <c r="N10" s="321">
        <f ca="1">QCI!M10</f>
        <v>-399069.38999999996</v>
      </c>
      <c r="P10" s="403"/>
      <c r="R10" s="152"/>
      <c r="S10" s="152"/>
      <c r="T10" s="152"/>
      <c r="U10" s="152"/>
      <c r="AC10" s="710" t="s">
        <v>364</v>
      </c>
      <c r="AD10" s="710"/>
      <c r="AE10" s="710"/>
      <c r="AF10" s="710"/>
      <c r="AG10" s="710"/>
      <c r="AH10" s="710"/>
      <c r="AJ10" s="710" t="s">
        <v>4</v>
      </c>
      <c r="AK10" s="710"/>
      <c r="AL10" s="710"/>
      <c r="AM10" s="710"/>
      <c r="AN10" s="710"/>
      <c r="AO10" s="710"/>
    </row>
    <row r="11" spans="1:41" ht="20.100000000000001" customHeight="1" x14ac:dyDescent="0.2">
      <c r="D11" s="593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411</v>
      </c>
      <c r="Y11" s="711" t="str">
        <f>IF(CAIXA.Modo,"Valores Aferidos (R$)","Valores Medidos (R$)")</f>
        <v>Valores Medidos (R$)</v>
      </c>
      <c r="Z11" s="711"/>
      <c r="AC11" s="712" t="s">
        <v>365</v>
      </c>
      <c r="AD11" s="712"/>
      <c r="AE11" s="712"/>
      <c r="AF11" s="712" t="s">
        <v>366</v>
      </c>
      <c r="AG11" s="712"/>
      <c r="AH11" s="712"/>
      <c r="AJ11" s="712" t="s">
        <v>365</v>
      </c>
      <c r="AK11" s="712"/>
      <c r="AL11" s="712"/>
      <c r="AM11" s="712" t="s">
        <v>366</v>
      </c>
      <c r="AN11" s="712"/>
      <c r="AO11" s="712"/>
    </row>
    <row r="12" spans="1:41" hidden="1" x14ac:dyDescent="0.2">
      <c r="A12" t="e">
        <f ca="1">MATCH(E12,ORÇAMENTO!$E$15:$E$165,0)-1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9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9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9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9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9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99" t="e">
        <f ca="1">IF(ACOMPANHAMENTO&lt;&gt;"BM",0,SUMPRODUCT(OFFSET(BM!$M$15,$A12,0,$B12)*(OFFSET(BM!$A$15,$A12,0,$B12)="S")*OFFSET(ORÇAMENTO!AA$15,$A12,0,$B12)/(OFFSET(ORÇAMENTO!$X$15,$A12,0,$B12)+10^-12)))</f>
        <v>#N/A</v>
      </c>
      <c r="AK12" s="199" t="e">
        <f ca="1">IF(ACOMPANHAMENTO&lt;&gt;"BM",0,SUMPRODUCT(OFFSET(BM!$M$15,$A12,0,$B12)*(OFFSET(BM!$A$15,$A12,0,$B12)="S")*OFFSET(ORÇAMENTO!AB$15,$A12,0,$B12)/(OFFSET(ORÇAMENTO!$X$15,$A12,0,$B12)+10^-12)))</f>
        <v>#N/A</v>
      </c>
      <c r="AL12" s="199" t="e">
        <f ca="1">IF(ACOMPANHAMENTO&lt;&gt;"BM",0,OFFSET(BM!$M$15,$A12,0))</f>
        <v>#N/A</v>
      </c>
      <c r="AM12" s="199" t="e">
        <f ca="1">IF(ACOMPANHAMENTO&lt;&gt;"BM",0,SUMPRODUCT(OFFSET(BM!$O$15,$A12,0,$B12)*(OFFSET(BM!$A$15,$A12,0,$B12)="S")*OFFSET(ORÇAMENTO!AA$15,$A12,0,$B12)/(OFFSET(ORÇAMENTO!$X$15,$A12,0,$B12)+10^-12)))</f>
        <v>#N/A</v>
      </c>
      <c r="AN12" s="199" t="e">
        <f ca="1">IF(ACOMPANHAMENTO&lt;&gt;"BM",0,SUMPRODUCT(OFFSET(BM!$O$15,$A12,0,$B12)*(OFFSET(BM!$A$15,$A12,0,$B12)="S")*OFFSET(ORÇAMENTO!AB$15,$A12,0,$B12)/(OFFSET(ORÇAMENTO!$X$15,$A12,0,$B12)+10^-12)))</f>
        <v>#N/A</v>
      </c>
      <c r="AO12" s="199" t="e">
        <f ca="1">IF(ACOMPANHAMENTO&lt;&gt;"BM",0,OFFSET(BM!$O$15,$A12,0))</f>
        <v>#N/A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>
        <f ca="1">MATCH(E14,ORÇAMENTO!$E$15:$E$165,0)-1</f>
        <v>1</v>
      </c>
      <c r="B14">
        <f ca="1">IF(ISERROR($A14),NA(),OFFSET(ORÇAMENTO!$D$15,$A14,0))</f>
        <v>11</v>
      </c>
      <c r="C14" t="str">
        <f ca="1">QCI!B14</f>
        <v>Automático</v>
      </c>
      <c r="D14" t="str">
        <f t="shared" ref="D14:D22" ca="1" si="0">IF(L14&gt;0,"F","")</f>
        <v>F</v>
      </c>
      <c r="E14" s="322">
        <f>QCI!D14</f>
        <v>1</v>
      </c>
      <c r="F14" s="408" t="str">
        <f ca="1">QCI!G14</f>
        <v>SERVIÇOS PRELIMINARES</v>
      </c>
      <c r="G14" s="409">
        <f>QCI!H14</f>
        <v>0</v>
      </c>
      <c r="H14" s="287">
        <f>QCI!I14</f>
        <v>0</v>
      </c>
      <c r="I14" s="323" t="str">
        <f ca="1">QCI!J14</f>
        <v/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13584.25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1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>
        <f ca="1">MATCH(E15,ORÇAMENTO!$E$15:$E$165,0)-1</f>
        <v>12</v>
      </c>
      <c r="B15">
        <f ca="1">IF(ISERROR($A15),NA(),OFFSET(ORÇAMENTO!$D$15,$A15,0))</f>
        <v>13</v>
      </c>
      <c r="C15" t="str">
        <f ca="1">QCI!B15</f>
        <v>Automático</v>
      </c>
      <c r="D15" t="str">
        <f t="shared" ca="1" si="0"/>
        <v>F</v>
      </c>
      <c r="E15" s="322">
        <f>QCI!D15</f>
        <v>2</v>
      </c>
      <c r="F15" s="408" t="str">
        <f ca="1">QCI!G15</f>
        <v xml:space="preserve">FUNDAÇÕES </v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>LOTE 1</v>
      </c>
      <c r="K15" s="411">
        <f ca="1">IF($C15="Automático",IF(ACOMPANHAMENTO="BM",BM.medicao,PLE.Medicao),IF(ISBLANK($X15),"",$X15))</f>
        <v>1</v>
      </c>
      <c r="L15" s="327">
        <f ca="1">QCI!$O15</f>
        <v>29551.54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1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>
        <f ca="1">IF(ACOMPANHAMENTO&lt;&gt;"BM",0,SUMPRODUCT(OFFSET(BM!$M$15,$A15,0,$B15)*(OFFSET(BM!$A$15,$A15,0,$B15)="S")*OFFSET(ORÇAMENTO!AA$15,$A15,0,$B15)/(OFFSET(ORÇAMENTO!$X$15,$A15,0,$B15)+10^-12)))</f>
        <v>0</v>
      </c>
      <c r="AK15" s="199">
        <f ca="1">IF(ACOMPANHAMENTO&lt;&gt;"BM",0,SUMPRODUCT(OFFSET(BM!$M$15,$A15,0,$B15)*(OFFSET(BM!$A$15,$A15,0,$B15)="S")*OFFSET(ORÇAMENTO!AB$15,$A15,0,$B15)/(OFFSET(ORÇAMENTO!$X$15,$A15,0,$B15)+10^-12)))</f>
        <v>0</v>
      </c>
      <c r="AL15" s="199">
        <f ca="1">IF(ACOMPANHAMENTO&lt;&gt;"BM",0,OFFSET(BM!$M$15,$A15,0))</f>
        <v>0</v>
      </c>
      <c r="AM15" s="199">
        <f ca="1">IF(ACOMPANHAMENTO&lt;&gt;"BM",0,SUMPRODUCT(OFFSET(BM!$O$15,$A15,0,$B15)*(OFFSET(BM!$A$15,$A15,0,$B15)="S")*OFFSET(ORÇAMENTO!AA$15,$A15,0,$B15)/(OFFSET(ORÇAMENTO!$X$15,$A15,0,$B15)+10^-12)))</f>
        <v>0</v>
      </c>
      <c r="AN15" s="199">
        <f ca="1">IF(ACOMPANHAMENTO&lt;&gt;"BM",0,SUMPRODUCT(OFFSET(BM!$O$15,$A15,0,$B15)*(OFFSET(BM!$A$15,$A15,0,$B15)="S")*OFFSET(ORÇAMENTO!AB$15,$A15,0,$B15)/(OFFSET(ORÇAMENTO!$X$15,$A15,0,$B15)+10^-12)))</f>
        <v>0</v>
      </c>
      <c r="AO15" s="199">
        <f ca="1">IF(ACOMPANHAMENTO&lt;&gt;"BM",0,OFFSET(BM!$O$15,$A15,0))</f>
        <v>0</v>
      </c>
    </row>
    <row r="16" spans="1:41" x14ac:dyDescent="0.2">
      <c r="A16">
        <f ca="1">MATCH(E16,ORÇAMENTO!$E$15:$E$165,0)-1</f>
        <v>25</v>
      </c>
      <c r="B16">
        <f ca="1">IF(ISERROR($A16),NA(),OFFSET(ORÇAMENTO!$D$15,$A16,0))</f>
        <v>10</v>
      </c>
      <c r="C16" t="str">
        <f ca="1">QCI!B16</f>
        <v>Automático</v>
      </c>
      <c r="D16" t="str">
        <f t="shared" ca="1" si="0"/>
        <v>F</v>
      </c>
      <c r="E16" s="322">
        <f>QCI!D16</f>
        <v>3</v>
      </c>
      <c r="F16" s="408" t="str">
        <f ca="1">QCI!G16</f>
        <v xml:space="preserve">SUPRAESTRUTURA </v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>LOTE 1</v>
      </c>
      <c r="K16" s="411">
        <f ca="1">IF($C16="Automático",IF(ACOMPANHAMENTO="BM",BM.medicao,PLE.Medicao),IF(ISBLANK($X16),"",$X16))</f>
        <v>1</v>
      </c>
      <c r="L16" s="327">
        <f ca="1">QCI!$O16</f>
        <v>29941.17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1</v>
      </c>
      <c r="X16" s="328"/>
      <c r="Y16" s="329"/>
      <c r="Z16" s="331"/>
      <c r="AC16" s="19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9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9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9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9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9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99">
        <f ca="1">IF(ACOMPANHAMENTO&lt;&gt;"BM",0,SUMPRODUCT(OFFSET(BM!$M$15,$A16,0,$B16)*(OFFSET(BM!$A$15,$A16,0,$B16)="S")*OFFSET(ORÇAMENTO!AA$15,$A16,0,$B16)/(OFFSET(ORÇAMENTO!$X$15,$A16,0,$B16)+10^-12)))</f>
        <v>0</v>
      </c>
      <c r="AK16" s="199">
        <f ca="1">IF(ACOMPANHAMENTO&lt;&gt;"BM",0,SUMPRODUCT(OFFSET(BM!$M$15,$A16,0,$B16)*(OFFSET(BM!$A$15,$A16,0,$B16)="S")*OFFSET(ORÇAMENTO!AB$15,$A16,0,$B16)/(OFFSET(ORÇAMENTO!$X$15,$A16,0,$B16)+10^-12)))</f>
        <v>0</v>
      </c>
      <c r="AL16" s="199">
        <f ca="1">IF(ACOMPANHAMENTO&lt;&gt;"BM",0,OFFSET(BM!$M$15,$A16,0))</f>
        <v>0</v>
      </c>
      <c r="AM16" s="199">
        <f ca="1">IF(ACOMPANHAMENTO&lt;&gt;"BM",0,SUMPRODUCT(OFFSET(BM!$O$15,$A16,0,$B16)*(OFFSET(BM!$A$15,$A16,0,$B16)="S")*OFFSET(ORÇAMENTO!AA$15,$A16,0,$B16)/(OFFSET(ORÇAMENTO!$X$15,$A16,0,$B16)+10^-12)))</f>
        <v>0</v>
      </c>
      <c r="AN16" s="199">
        <f ca="1">IF(ACOMPANHAMENTO&lt;&gt;"BM",0,SUMPRODUCT(OFFSET(BM!$O$15,$A16,0,$B16)*(OFFSET(BM!$A$15,$A16,0,$B16)="S")*OFFSET(ORÇAMENTO!AB$15,$A16,0,$B16)/(OFFSET(ORÇAMENTO!$X$15,$A16,0,$B16)+10^-12)))</f>
        <v>0</v>
      </c>
      <c r="AO16" s="199">
        <f ca="1">IF(ACOMPANHAMENTO&lt;&gt;"BM",0,OFFSET(BM!$O$15,$A16,0))</f>
        <v>0</v>
      </c>
    </row>
    <row r="17" spans="1:41" x14ac:dyDescent="0.2">
      <c r="A17">
        <f ca="1">MATCH(E17,ORÇAMENTO!$E$15:$E$165,0)-1</f>
        <v>35</v>
      </c>
      <c r="B17">
        <f ca="1">IF(ISERROR($A17),NA(),OFFSET(ORÇAMENTO!$D$15,$A17,0))</f>
        <v>20</v>
      </c>
      <c r="C17" t="str">
        <f ca="1">QCI!B17</f>
        <v>Automático</v>
      </c>
      <c r="D17" t="str">
        <f t="shared" ca="1" si="0"/>
        <v>F</v>
      </c>
      <c r="E17" s="322">
        <f>QCI!D17</f>
        <v>4</v>
      </c>
      <c r="F17" s="408" t="str">
        <f ca="1">QCI!G17</f>
        <v xml:space="preserve">PAREDES E REVESTIMENTOS </v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>LOTE 1</v>
      </c>
      <c r="K17" s="411">
        <f ca="1">IF($C17="Automático",IF(ACOMPANHAMENTO="BM",BM.medicao,PLE.Medicao),IF(ISBLANK($X17),"",$X17))</f>
        <v>1</v>
      </c>
      <c r="L17" s="327">
        <f ca="1">QCI!$O17</f>
        <v>104612.68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1</v>
      </c>
      <c r="X17" s="328"/>
      <c r="Y17" s="329"/>
      <c r="Z17" s="331"/>
      <c r="AC17" s="19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9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9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9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9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9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99">
        <f ca="1">IF(ACOMPANHAMENTO&lt;&gt;"BM",0,SUMPRODUCT(OFFSET(BM!$M$15,$A17,0,$B17)*(OFFSET(BM!$A$15,$A17,0,$B17)="S")*OFFSET(ORÇAMENTO!AA$15,$A17,0,$B17)/(OFFSET(ORÇAMENTO!$X$15,$A17,0,$B17)+10^-12)))</f>
        <v>0</v>
      </c>
      <c r="AK17" s="199">
        <f ca="1">IF(ACOMPANHAMENTO&lt;&gt;"BM",0,SUMPRODUCT(OFFSET(BM!$M$15,$A17,0,$B17)*(OFFSET(BM!$A$15,$A17,0,$B17)="S")*OFFSET(ORÇAMENTO!AB$15,$A17,0,$B17)/(OFFSET(ORÇAMENTO!$X$15,$A17,0,$B17)+10^-12)))</f>
        <v>0</v>
      </c>
      <c r="AL17" s="199">
        <f ca="1">IF(ACOMPANHAMENTO&lt;&gt;"BM",0,OFFSET(BM!$M$15,$A17,0))</f>
        <v>0</v>
      </c>
      <c r="AM17" s="199">
        <f ca="1">IF(ACOMPANHAMENTO&lt;&gt;"BM",0,SUMPRODUCT(OFFSET(BM!$O$15,$A17,0,$B17)*(OFFSET(BM!$A$15,$A17,0,$B17)="S")*OFFSET(ORÇAMENTO!AA$15,$A17,0,$B17)/(OFFSET(ORÇAMENTO!$X$15,$A17,0,$B17)+10^-12)))</f>
        <v>0</v>
      </c>
      <c r="AN17" s="199">
        <f ca="1">IF(ACOMPANHAMENTO&lt;&gt;"BM",0,SUMPRODUCT(OFFSET(BM!$O$15,$A17,0,$B17)*(OFFSET(BM!$A$15,$A17,0,$B17)="S")*OFFSET(ORÇAMENTO!AB$15,$A17,0,$B17)/(OFFSET(ORÇAMENTO!$X$15,$A17,0,$B17)+10^-12)))</f>
        <v>0</v>
      </c>
      <c r="AO17" s="199">
        <f ca="1">IF(ACOMPANHAMENTO&lt;&gt;"BM",0,OFFSET(BM!$O$15,$A17,0))</f>
        <v>0</v>
      </c>
    </row>
    <row r="18" spans="1:41" x14ac:dyDescent="0.2">
      <c r="A18">
        <f ca="1">MATCH(E18,ORÇAMENTO!$E$15:$E$165,0)-1</f>
        <v>55</v>
      </c>
      <c r="B18">
        <f ca="1">IF(ISERROR($A18),NA(),OFFSET(ORÇAMENTO!$D$15,$A18,0))</f>
        <v>10</v>
      </c>
      <c r="C18" t="str">
        <f ca="1">QCI!B18</f>
        <v>Automático</v>
      </c>
      <c r="D18" t="str">
        <f t="shared" ca="1" si="0"/>
        <v>F</v>
      </c>
      <c r="E18" s="322">
        <f>QCI!D18</f>
        <v>5</v>
      </c>
      <c r="F18" s="408" t="str">
        <f ca="1">QCI!G18</f>
        <v xml:space="preserve">COBERTURA </v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>LOTE 1</v>
      </c>
      <c r="K18" s="411">
        <f ca="1">IF($C18="Automático",IF(ACOMPANHAMENTO="BM",BM.medicao,PLE.Medicao),IF(ISBLANK($X18),"",$X18))</f>
        <v>1</v>
      </c>
      <c r="L18" s="327">
        <f ca="1">QCI!$O18</f>
        <v>51996.85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1</v>
      </c>
      <c r="X18" s="328"/>
      <c r="Y18" s="329"/>
      <c r="Z18" s="331"/>
      <c r="AC18" s="19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9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9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9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9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9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99">
        <f ca="1">IF(ACOMPANHAMENTO&lt;&gt;"BM",0,SUMPRODUCT(OFFSET(BM!$M$15,$A18,0,$B18)*(OFFSET(BM!$A$15,$A18,0,$B18)="S")*OFFSET(ORÇAMENTO!AA$15,$A18,0,$B18)/(OFFSET(ORÇAMENTO!$X$15,$A18,0,$B18)+10^-12)))</f>
        <v>0</v>
      </c>
      <c r="AK18" s="199">
        <f ca="1">IF(ACOMPANHAMENTO&lt;&gt;"BM",0,SUMPRODUCT(OFFSET(BM!$M$15,$A18,0,$B18)*(OFFSET(BM!$A$15,$A18,0,$B18)="S")*OFFSET(ORÇAMENTO!AB$15,$A18,0,$B18)/(OFFSET(ORÇAMENTO!$X$15,$A18,0,$B18)+10^-12)))</f>
        <v>0</v>
      </c>
      <c r="AL18" s="199">
        <f ca="1">IF(ACOMPANHAMENTO&lt;&gt;"BM",0,OFFSET(BM!$M$15,$A18,0))</f>
        <v>0</v>
      </c>
      <c r="AM18" s="199">
        <f ca="1">IF(ACOMPANHAMENTO&lt;&gt;"BM",0,SUMPRODUCT(OFFSET(BM!$O$15,$A18,0,$B18)*(OFFSET(BM!$A$15,$A18,0,$B18)="S")*OFFSET(ORÇAMENTO!AA$15,$A18,0,$B18)/(OFFSET(ORÇAMENTO!$X$15,$A18,0,$B18)+10^-12)))</f>
        <v>0</v>
      </c>
      <c r="AN18" s="199">
        <f ca="1">IF(ACOMPANHAMENTO&lt;&gt;"BM",0,SUMPRODUCT(OFFSET(BM!$O$15,$A18,0,$B18)*(OFFSET(BM!$A$15,$A18,0,$B18)="S")*OFFSET(ORÇAMENTO!AB$15,$A18,0,$B18)/(OFFSET(ORÇAMENTO!$X$15,$A18,0,$B18)+10^-12)))</f>
        <v>0</v>
      </c>
      <c r="AO18" s="199">
        <f ca="1">IF(ACOMPANHAMENTO&lt;&gt;"BM",0,OFFSET(BM!$O$15,$A18,0))</f>
        <v>0</v>
      </c>
    </row>
    <row r="19" spans="1:41" x14ac:dyDescent="0.2">
      <c r="A19">
        <f ca="1">MATCH(E19,ORÇAMENTO!$E$15:$E$165,0)-1</f>
        <v>65</v>
      </c>
      <c r="B19">
        <f ca="1">IF(ISERROR($A19),NA(),OFFSET(ORÇAMENTO!$D$15,$A19,0))</f>
        <v>36</v>
      </c>
      <c r="C19" t="str">
        <f ca="1">QCI!B19</f>
        <v>Automático</v>
      </c>
      <c r="D19" t="str">
        <f t="shared" ca="1" si="0"/>
        <v>F</v>
      </c>
      <c r="E19" s="322">
        <f>QCI!D19</f>
        <v>6</v>
      </c>
      <c r="F19" s="408" t="str">
        <f ca="1">QCI!G19</f>
        <v>SERVIÇOS COMPLEMENTARES</v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>LOTE 1</v>
      </c>
      <c r="K19" s="411">
        <f ca="1">IF($C19="Automático",IF(ACOMPANHAMENTO="BM",BM.medicao,PLE.Medicao),IF(ISBLANK($X19),"",$X19))</f>
        <v>1</v>
      </c>
      <c r="L19" s="327">
        <f ca="1">QCI!$O19</f>
        <v>28243.64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1</v>
      </c>
      <c r="X19" s="328"/>
      <c r="Y19" s="329"/>
      <c r="Z19" s="331"/>
      <c r="AC19" s="19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9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9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9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9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9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99">
        <f ca="1">IF(ACOMPANHAMENTO&lt;&gt;"BM",0,SUMPRODUCT(OFFSET(BM!$M$15,$A19,0,$B19)*(OFFSET(BM!$A$15,$A19,0,$B19)="S")*OFFSET(ORÇAMENTO!AA$15,$A19,0,$B19)/(OFFSET(ORÇAMENTO!$X$15,$A19,0,$B19)+10^-12)))</f>
        <v>0</v>
      </c>
      <c r="AK19" s="199">
        <f ca="1">IF(ACOMPANHAMENTO&lt;&gt;"BM",0,SUMPRODUCT(OFFSET(BM!$M$15,$A19,0,$B19)*(OFFSET(BM!$A$15,$A19,0,$B19)="S")*OFFSET(ORÇAMENTO!AB$15,$A19,0,$B19)/(OFFSET(ORÇAMENTO!$X$15,$A19,0,$B19)+10^-12)))</f>
        <v>0</v>
      </c>
      <c r="AL19" s="199">
        <f ca="1">IF(ACOMPANHAMENTO&lt;&gt;"BM",0,OFFSET(BM!$M$15,$A19,0))</f>
        <v>0</v>
      </c>
      <c r="AM19" s="199">
        <f ca="1">IF(ACOMPANHAMENTO&lt;&gt;"BM",0,SUMPRODUCT(OFFSET(BM!$O$15,$A19,0,$B19)*(OFFSET(BM!$A$15,$A19,0,$B19)="S")*OFFSET(ORÇAMENTO!AA$15,$A19,0,$B19)/(OFFSET(ORÇAMENTO!$X$15,$A19,0,$B19)+10^-12)))</f>
        <v>0</v>
      </c>
      <c r="AN19" s="199">
        <f ca="1">IF(ACOMPANHAMENTO&lt;&gt;"BM",0,SUMPRODUCT(OFFSET(BM!$O$15,$A19,0,$B19)*(OFFSET(BM!$A$15,$A19,0,$B19)="S")*OFFSET(ORÇAMENTO!AB$15,$A19,0,$B19)/(OFFSET(ORÇAMENTO!$X$15,$A19,0,$B19)+10^-12)))</f>
        <v>0</v>
      </c>
      <c r="AO19" s="199">
        <f ca="1">IF(ACOMPANHAMENTO&lt;&gt;"BM",0,OFFSET(BM!$O$15,$A19,0))</f>
        <v>0</v>
      </c>
    </row>
    <row r="20" spans="1:41" x14ac:dyDescent="0.2">
      <c r="A20">
        <f ca="1">MATCH(E20,ORÇAMENTO!$E$15:$E$165,0)-1</f>
        <v>101</v>
      </c>
      <c r="B20">
        <f ca="1">IF(ISERROR($A20),NA(),OFFSET(ORÇAMENTO!$D$15,$A20,0))</f>
        <v>6</v>
      </c>
      <c r="C20" t="str">
        <f ca="1">QCI!B20</f>
        <v>Automático</v>
      </c>
      <c r="D20" t="str">
        <f t="shared" ca="1" si="0"/>
        <v>F</v>
      </c>
      <c r="E20" s="322">
        <f>QCI!D20</f>
        <v>7</v>
      </c>
      <c r="F20" s="408" t="str">
        <f ca="1">QCI!G20</f>
        <v xml:space="preserve">PAVIMENTAÇÃO </v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>LOTE 1</v>
      </c>
      <c r="K20" s="411">
        <f ca="1">IF($C20="Automático",IF(ACOMPANHAMENTO="BM",BM.medicao,PLE.Medicao),IF(ISBLANK($X20),"",$X20))</f>
        <v>1</v>
      </c>
      <c r="L20" s="327">
        <f ca="1">QCI!$O20</f>
        <v>37813.360000000001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1</v>
      </c>
      <c r="X20" s="328"/>
      <c r="Y20" s="329"/>
      <c r="Z20" s="331"/>
      <c r="AC20" s="19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9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9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9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9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9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99">
        <f ca="1">IF(ACOMPANHAMENTO&lt;&gt;"BM",0,SUMPRODUCT(OFFSET(BM!$M$15,$A20,0,$B20)*(OFFSET(BM!$A$15,$A20,0,$B20)="S")*OFFSET(ORÇAMENTO!AA$15,$A20,0,$B20)/(OFFSET(ORÇAMENTO!$X$15,$A20,0,$B20)+10^-12)))</f>
        <v>0</v>
      </c>
      <c r="AK20" s="199">
        <f ca="1">IF(ACOMPANHAMENTO&lt;&gt;"BM",0,SUMPRODUCT(OFFSET(BM!$M$15,$A20,0,$B20)*(OFFSET(BM!$A$15,$A20,0,$B20)="S")*OFFSET(ORÇAMENTO!AB$15,$A20,0,$B20)/(OFFSET(ORÇAMENTO!$X$15,$A20,0,$B20)+10^-12)))</f>
        <v>0</v>
      </c>
      <c r="AL20" s="199">
        <f ca="1">IF(ACOMPANHAMENTO&lt;&gt;"BM",0,OFFSET(BM!$M$15,$A20,0))</f>
        <v>0</v>
      </c>
      <c r="AM20" s="199">
        <f ca="1">IF(ACOMPANHAMENTO&lt;&gt;"BM",0,SUMPRODUCT(OFFSET(BM!$O$15,$A20,0,$B20)*(OFFSET(BM!$A$15,$A20,0,$B20)="S")*OFFSET(ORÇAMENTO!AA$15,$A20,0,$B20)/(OFFSET(ORÇAMENTO!$X$15,$A20,0,$B20)+10^-12)))</f>
        <v>0</v>
      </c>
      <c r="AN20" s="199">
        <f ca="1">IF(ACOMPANHAMENTO&lt;&gt;"BM",0,SUMPRODUCT(OFFSET(BM!$O$15,$A20,0,$B20)*(OFFSET(BM!$A$15,$A20,0,$B20)="S")*OFFSET(ORÇAMENTO!AB$15,$A20,0,$B20)/(OFFSET(ORÇAMENTO!$X$15,$A20,0,$B20)+10^-12)))</f>
        <v>0</v>
      </c>
      <c r="AO20" s="199">
        <f ca="1">IF(ACOMPANHAMENTO&lt;&gt;"BM",0,OFFSET(BM!$O$15,$A20,0))</f>
        <v>0</v>
      </c>
    </row>
    <row r="21" spans="1:41" x14ac:dyDescent="0.2">
      <c r="A21">
        <f ca="1">MATCH(E21,ORÇAMENTO!$E$15:$E$165,0)-1</f>
        <v>107</v>
      </c>
      <c r="B21">
        <f ca="1">IF(ISERROR($A21),NA(),OFFSET(ORÇAMENTO!$D$15,$A21,0))</f>
        <v>23</v>
      </c>
      <c r="C21" t="str">
        <f ca="1">QCI!B21</f>
        <v>Automático</v>
      </c>
      <c r="D21" t="str">
        <f t="shared" ca="1" si="0"/>
        <v>F</v>
      </c>
      <c r="E21" s="322">
        <f>QCI!D21</f>
        <v>8</v>
      </c>
      <c r="F21" s="408" t="str">
        <f ca="1">QCI!G21</f>
        <v xml:space="preserve">ACABAMENTOS </v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>LOTE 1</v>
      </c>
      <c r="K21" s="411">
        <f ca="1">IF($C21="Automático",IF(ACOMPANHAMENTO="BM",BM.medicao,PLE.Medicao),IF(ISBLANK($X21),"",$X21))</f>
        <v>1</v>
      </c>
      <c r="L21" s="327">
        <f ca="1">QCI!$O21</f>
        <v>32814.04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1</v>
      </c>
      <c r="X21" s="328"/>
      <c r="Y21" s="329"/>
      <c r="Z21" s="331"/>
      <c r="AC21" s="19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9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9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9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9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9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99">
        <f ca="1">IF(ACOMPANHAMENTO&lt;&gt;"BM",0,SUMPRODUCT(OFFSET(BM!$M$15,$A21,0,$B21)*(OFFSET(BM!$A$15,$A21,0,$B21)="S")*OFFSET(ORÇAMENTO!AA$15,$A21,0,$B21)/(OFFSET(ORÇAMENTO!$X$15,$A21,0,$B21)+10^-12)))</f>
        <v>0</v>
      </c>
      <c r="AK21" s="199">
        <f ca="1">IF(ACOMPANHAMENTO&lt;&gt;"BM",0,SUMPRODUCT(OFFSET(BM!$M$15,$A21,0,$B21)*(OFFSET(BM!$A$15,$A21,0,$B21)="S")*OFFSET(ORÇAMENTO!AB$15,$A21,0,$B21)/(OFFSET(ORÇAMENTO!$X$15,$A21,0,$B21)+10^-12)))</f>
        <v>0</v>
      </c>
      <c r="AL21" s="199">
        <f ca="1">IF(ACOMPANHAMENTO&lt;&gt;"BM",0,OFFSET(BM!$M$15,$A21,0))</f>
        <v>0</v>
      </c>
      <c r="AM21" s="199">
        <f ca="1">IF(ACOMPANHAMENTO&lt;&gt;"BM",0,SUMPRODUCT(OFFSET(BM!$O$15,$A21,0,$B21)*(OFFSET(BM!$A$15,$A21,0,$B21)="S")*OFFSET(ORÇAMENTO!AA$15,$A21,0,$B21)/(OFFSET(ORÇAMENTO!$X$15,$A21,0,$B21)+10^-12)))</f>
        <v>0</v>
      </c>
      <c r="AN21" s="199">
        <f ca="1">IF(ACOMPANHAMENTO&lt;&gt;"BM",0,SUMPRODUCT(OFFSET(BM!$O$15,$A21,0,$B21)*(OFFSET(BM!$A$15,$A21,0,$B21)="S")*OFFSET(ORÇAMENTO!AB$15,$A21,0,$B21)/(OFFSET(ORÇAMENTO!$X$15,$A21,0,$B21)+10^-12)))</f>
        <v>0</v>
      </c>
      <c r="AO21" s="199">
        <f ca="1">IF(ACOMPANHAMENTO&lt;&gt;"BM",0,OFFSET(BM!$O$15,$A21,0))</f>
        <v>0</v>
      </c>
    </row>
    <row r="22" spans="1:41" x14ac:dyDescent="0.2">
      <c r="A22">
        <f ca="1">MATCH(E22,ORÇAMENTO!$E$15:$E$165,0)-1</f>
        <v>130</v>
      </c>
      <c r="B22">
        <f ca="1">IF(ISERROR($A22),NA(),OFFSET(ORÇAMENTO!$D$15,$A22,0))</f>
        <v>5</v>
      </c>
      <c r="C22" t="str">
        <f ca="1">QCI!B22</f>
        <v>Automático</v>
      </c>
      <c r="D22" t="str">
        <f t="shared" ca="1" si="0"/>
        <v>F</v>
      </c>
      <c r="E22" s="322">
        <f>QCI!D22</f>
        <v>9</v>
      </c>
      <c r="F22" s="408" t="str">
        <f ca="1">QCI!G22</f>
        <v>INCENDIO</v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>LOTE 1</v>
      </c>
      <c r="K22" s="411">
        <f ca="1">IF($C22="Automático",IF(ACOMPANHAMENTO="BM",BM.medicao,PLE.Medicao),IF(ISBLANK($X22),"",$X22))</f>
        <v>1</v>
      </c>
      <c r="L22" s="327">
        <f ca="1">QCI!$O22</f>
        <v>651.79999999999995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1</v>
      </c>
      <c r="X22" s="328"/>
      <c r="Y22" s="329"/>
      <c r="Z22" s="331"/>
      <c r="AC22" s="19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9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9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9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9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9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99">
        <f ca="1">IF(ACOMPANHAMENTO&lt;&gt;"BM",0,SUMPRODUCT(OFFSET(BM!$M$15,$A22,0,$B22)*(OFFSET(BM!$A$15,$A22,0,$B22)="S")*OFFSET(ORÇAMENTO!AA$15,$A22,0,$B22)/(OFFSET(ORÇAMENTO!$X$15,$A22,0,$B22)+10^-12)))</f>
        <v>0</v>
      </c>
      <c r="AK22" s="199">
        <f ca="1">IF(ACOMPANHAMENTO&lt;&gt;"BM",0,SUMPRODUCT(OFFSET(BM!$M$15,$A22,0,$B22)*(OFFSET(BM!$A$15,$A22,0,$B22)="S")*OFFSET(ORÇAMENTO!AB$15,$A22,0,$B22)/(OFFSET(ORÇAMENTO!$X$15,$A22,0,$B22)+10^-12)))</f>
        <v>0</v>
      </c>
      <c r="AL22" s="199">
        <f ca="1">IF(ACOMPANHAMENTO&lt;&gt;"BM",0,OFFSET(BM!$M$15,$A22,0))</f>
        <v>0</v>
      </c>
      <c r="AM22" s="199">
        <f ca="1">IF(ACOMPANHAMENTO&lt;&gt;"BM",0,SUMPRODUCT(OFFSET(BM!$O$15,$A22,0,$B22)*(OFFSET(BM!$A$15,$A22,0,$B22)="S")*OFFSET(ORÇAMENTO!AA$15,$A22,0,$B22)/(OFFSET(ORÇAMENTO!$X$15,$A22,0,$B22)+10^-12)))</f>
        <v>0</v>
      </c>
      <c r="AN22" s="199">
        <f ca="1">IF(ACOMPANHAMENTO&lt;&gt;"BM",0,SUMPRODUCT(OFFSET(BM!$O$15,$A22,0,$B22)*(OFFSET(BM!$A$15,$A22,0,$B22)="S")*OFFSET(ORÇAMENTO!AB$15,$A22,0,$B22)/(OFFSET(ORÇAMENTO!$X$15,$A22,0,$B22)+10^-12)))</f>
        <v>0</v>
      </c>
      <c r="AO22" s="199">
        <f ca="1">IF(ACOMPANHAMENTO&lt;&gt;"BM",0,OFFSET(BM!$O$15,$A22,0))</f>
        <v>0</v>
      </c>
    </row>
    <row r="23" spans="1:41" x14ac:dyDescent="0.2">
      <c r="A23">
        <f ca="1">MATCH(E23,ORÇAMENTO!$E$15:$E$165,0)-1</f>
        <v>135</v>
      </c>
      <c r="B23">
        <f ca="1">IF(ISERROR($A23),NA(),OFFSET(ORÇAMENTO!$D$15,$A23,0))</f>
        <v>15</v>
      </c>
      <c r="C23" t="str">
        <f ca="1">QCI!B23</f>
        <v>Automático</v>
      </c>
      <c r="D23" t="str">
        <f ca="1">IF(L23&gt;0,"F","")</f>
        <v>F</v>
      </c>
      <c r="E23" s="322">
        <f>QCI!D23</f>
        <v>10</v>
      </c>
      <c r="F23" s="408" t="str">
        <f ca="1">QCI!G23</f>
        <v>CAMPO DE FUTEBOL</v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>LOTE 1</v>
      </c>
      <c r="K23" s="411">
        <f ca="1">IF($C23="Automático",IF(ACOMPANHAMENTO="BM",BM.medicao,PLE.Medicao),IF(ISBLANK($X23),"",$X23))</f>
        <v>1</v>
      </c>
      <c r="L23" s="327">
        <f ca="1">QCI!$O23</f>
        <v>69860.06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1</v>
      </c>
      <c r="X23" s="328"/>
      <c r="Y23" s="329"/>
      <c r="Z23" s="331"/>
      <c r="AC23" s="19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9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9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9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9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9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99">
        <f ca="1">IF(ACOMPANHAMENTO&lt;&gt;"BM",0,SUMPRODUCT(OFFSET(BM!$M$15,$A23,0,$B23)*(OFFSET(BM!$A$15,$A23,0,$B23)="S")*OFFSET(ORÇAMENTO!AA$15,$A23,0,$B23)/(OFFSET(ORÇAMENTO!$X$15,$A23,0,$B23)+10^-12)))</f>
        <v>0</v>
      </c>
      <c r="AK23" s="199">
        <f ca="1">IF(ACOMPANHAMENTO&lt;&gt;"BM",0,SUMPRODUCT(OFFSET(BM!$M$15,$A23,0,$B23)*(OFFSET(BM!$A$15,$A23,0,$B23)="S")*OFFSET(ORÇAMENTO!AB$15,$A23,0,$B23)/(OFFSET(ORÇAMENTO!$X$15,$A23,0,$B23)+10^-12)))</f>
        <v>0</v>
      </c>
      <c r="AL23" s="199">
        <f ca="1">IF(ACOMPANHAMENTO&lt;&gt;"BM",0,OFFSET(BM!$M$15,$A23,0))</f>
        <v>0</v>
      </c>
      <c r="AM23" s="199">
        <f ca="1">IF(ACOMPANHAMENTO&lt;&gt;"BM",0,SUMPRODUCT(OFFSET(BM!$O$15,$A23,0,$B23)*(OFFSET(BM!$A$15,$A23,0,$B23)="S")*OFFSET(ORÇAMENTO!AA$15,$A23,0,$B23)/(OFFSET(ORÇAMENTO!$X$15,$A23,0,$B23)+10^-12)))</f>
        <v>0</v>
      </c>
      <c r="AN23" s="199">
        <f ca="1">IF(ACOMPANHAMENTO&lt;&gt;"BM",0,SUMPRODUCT(OFFSET(BM!$O$15,$A23,0,$B23)*(OFFSET(BM!$A$15,$A23,0,$B23)="S")*OFFSET(ORÇAMENTO!AB$15,$A23,0,$B23)/(OFFSET(ORÇAMENTO!$X$15,$A23,0,$B23)+10^-12)))</f>
        <v>0</v>
      </c>
      <c r="AO23" s="199">
        <f ca="1">IF(ACOMPANHAMENTO&lt;&gt;"BM",0,OFFSET(BM!$O$15,$A23,0))</f>
        <v>0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698" t="s">
        <v>376</v>
      </c>
      <c r="K24" s="699"/>
      <c r="L24" s="415">
        <f ca="1">IF(ISERROR(L28/$L28),0,ROUND(L28/$L28,4))</f>
        <v>1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00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01" t="str">
        <f>IF(import.recurso="FGTS","Financiamento","Repasse")</f>
        <v>Repasse</v>
      </c>
      <c r="K25" s="702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00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03" t="s">
        <v>381</v>
      </c>
      <c r="K26" s="704"/>
      <c r="L26" s="423">
        <f ca="1">QCI!M24</f>
        <v>399069.38999999996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00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705" t="s">
        <v>358</v>
      </c>
      <c r="K27" s="706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00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707" t="s">
        <v>360</v>
      </c>
      <c r="K28" s="708"/>
      <c r="L28" s="434">
        <f ca="1">SUM(L13:OFFSET(L24,-1,0))</f>
        <v>399069.38999999996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00"/>
      <c r="X28" s="359"/>
      <c r="Y28" s="361"/>
      <c r="Z28" s="362"/>
    </row>
    <row r="29" spans="1:41" x14ac:dyDescent="0.2">
      <c r="O29" s="709" t="str">
        <f ca="1">"Acumulado Anterior:  "&amp;TEXT($M$28/($L$28+10^-12),"0,00%")</f>
        <v>Acumulado Anterior:  0,00%</v>
      </c>
      <c r="P29" s="709"/>
    </row>
    <row r="30" spans="1:41" ht="14.25" x14ac:dyDescent="0.2">
      <c r="E30" s="141" t="s">
        <v>187</v>
      </c>
      <c r="P30" s="476"/>
    </row>
    <row r="31" spans="1:41" ht="12.75" customHeight="1" x14ac:dyDescent="0.2">
      <c r="E31" s="692"/>
      <c r="F31" s="693"/>
      <c r="G31" s="693"/>
      <c r="H31" s="693"/>
      <c r="I31" s="693"/>
      <c r="J31" s="693"/>
      <c r="K31" s="693"/>
      <c r="L31" s="693"/>
      <c r="M31" s="693"/>
      <c r="N31" s="693"/>
      <c r="O31" s="693"/>
      <c r="P31" s="694"/>
    </row>
    <row r="32" spans="1:41" ht="12.75" customHeight="1" x14ac:dyDescent="0.2">
      <c r="E32" s="692"/>
      <c r="F32" s="693"/>
      <c r="G32" s="693"/>
      <c r="H32" s="693"/>
      <c r="I32" s="693"/>
      <c r="J32" s="693"/>
      <c r="K32" s="693"/>
      <c r="L32" s="693"/>
      <c r="M32" s="693"/>
      <c r="N32" s="693"/>
      <c r="O32" s="693"/>
      <c r="P32" s="694"/>
      <c r="Y32" s="438"/>
      <c r="Z32" s="438"/>
    </row>
    <row r="33" spans="5:16" ht="12.75" customHeight="1" x14ac:dyDescent="0.2">
      <c r="E33" s="695"/>
      <c r="F33" s="696"/>
      <c r="G33" s="696"/>
      <c r="H33" s="696"/>
      <c r="I33" s="696"/>
      <c r="J33" s="696"/>
      <c r="K33" s="696"/>
      <c r="L33" s="696"/>
      <c r="M33" s="696"/>
      <c r="N33" s="696"/>
      <c r="O33" s="696"/>
      <c r="P33" s="697"/>
    </row>
    <row r="35" spans="5:16" ht="15" x14ac:dyDescent="0.2">
      <c r="E35" s="622" t="str">
        <f>Import.Município</f>
        <v xml:space="preserve">ÁGUAS DE CHAPECÓ </v>
      </c>
      <c r="F35" s="622"/>
      <c r="G35" s="622"/>
      <c r="I35" s="439"/>
      <c r="L35" s="632">
        <f ca="1">DADOS!$F$25</f>
        <v>46310</v>
      </c>
      <c r="M35" s="632"/>
      <c r="N35" s="632"/>
      <c r="O35" s="632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OSCAR BARELA</v>
      </c>
      <c r="L40" s="78" t="s">
        <v>108</v>
      </c>
      <c r="M40" s="677" t="str">
        <f>IF(CAIXA.Modo,BM!X177,DADOS!F51)</f>
        <v>RENATA LORENZET</v>
      </c>
      <c r="N40" s="677"/>
      <c r="O40" s="677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 MUNICIPAL</v>
      </c>
      <c r="L41" s="78" t="str">
        <f>IF(CAIXA.Modo,"Matrícula:","Profissão:")</f>
        <v>Profissão:</v>
      </c>
      <c r="M41" s="677" t="str">
        <f>IF(CAIXA.Modo,BM!X178,DADOS!F52)</f>
        <v>ENGENHEIRA CIVIL</v>
      </c>
      <c r="N41" s="677"/>
      <c r="O41" s="677"/>
    </row>
    <row r="42" spans="5:16" x14ac:dyDescent="0.2">
      <c r="L42" s="78" t="s">
        <v>109</v>
      </c>
      <c r="M42" s="677" t="str">
        <f>IF(CAIXA.Modo,BM!X179,DADOS!F53)</f>
        <v>207.601-3</v>
      </c>
      <c r="N42" s="677"/>
      <c r="O42" s="677"/>
    </row>
    <row r="43" spans="5:16" x14ac:dyDescent="0.2">
      <c r="L43" s="78" t="str">
        <f>IF(CAIXA.Modo,"","ART/RRT:")</f>
        <v>ART/RRT:</v>
      </c>
      <c r="M43" s="13">
        <f>IF(CAIXA.Modo,"",DADOS!F54)</f>
        <v>0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76"/>
      <c r="G47" s="676"/>
      <c r="L47" s="78" t="s">
        <v>108</v>
      </c>
      <c r="M47" s="676"/>
      <c r="N47" s="676"/>
      <c r="O47" s="676"/>
    </row>
    <row r="48" spans="5:16" x14ac:dyDescent="0.2">
      <c r="E48" s="78" t="str">
        <f>IF(CAIXA.Modo,"Função:","Cargo:")</f>
        <v>Cargo:</v>
      </c>
      <c r="F48" s="676"/>
      <c r="G48" s="676"/>
      <c r="L48" s="78" t="str">
        <f>IF(CAIXA.Modo,"Função:","Cargo:")</f>
        <v>Cargo:</v>
      </c>
      <c r="M48" s="676"/>
      <c r="N48" s="676"/>
      <c r="O48" s="676"/>
    </row>
    <row r="49" spans="5:15" x14ac:dyDescent="0.2">
      <c r="E49" s="78" t="str">
        <f>IF(CAIXA.Modo,"Matr:","")</f>
        <v/>
      </c>
      <c r="F49" s="676"/>
      <c r="G49" s="676"/>
      <c r="L49" s="78" t="str">
        <f>IF(CAIXA.Modo,"Matrícula:","")</f>
        <v/>
      </c>
      <c r="M49" s="676"/>
      <c r="N49" s="676"/>
      <c r="O49" s="67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 xr:uid="{00000000-0009-0000-0000-00000C000000}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xr:uid="{00000000-0002-0000-0C00-000003000000}">
      <formula1>0</formula1>
      <formula2>RRE.MaxOUAcum</formula2>
    </dataValidation>
    <dataValidation type="decimal" allowBlank="1" showInputMessage="1" showErrorMessage="1" sqref="Y12:Z12 Y14:Z23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36"/>
      <c r="C1" s="736"/>
      <c r="D1" s="50"/>
      <c r="E1" s="50"/>
      <c r="F1" s="50"/>
      <c r="G1" s="53" t="s">
        <v>140</v>
      </c>
    </row>
    <row r="2" spans="2:17" x14ac:dyDescent="0.2">
      <c r="B2" s="736"/>
      <c r="C2" s="736"/>
      <c r="D2" s="50"/>
      <c r="E2" s="50"/>
      <c r="F2" s="50"/>
      <c r="G2" s="12" t="s">
        <v>382</v>
      </c>
    </row>
    <row r="3" spans="2:17" ht="26.1" customHeight="1" thickBot="1" x14ac:dyDescent="0.25">
      <c r="B3" s="736"/>
      <c r="C3" s="736"/>
      <c r="D3" s="50"/>
      <c r="E3" s="50"/>
      <c r="F3" s="50"/>
      <c r="G3" s="441"/>
      <c r="I3" s="442" t="s">
        <v>383</v>
      </c>
    </row>
    <row r="4" spans="2:17" ht="12.75" customHeight="1" x14ac:dyDescent="0.2">
      <c r="B4" s="736"/>
      <c r="C4" s="736"/>
      <c r="D4" s="50"/>
      <c r="E4" s="50"/>
      <c r="F4" s="50"/>
      <c r="G4" s="50"/>
      <c r="I4" s="737" t="s">
        <v>384</v>
      </c>
      <c r="J4" s="739" t="s">
        <v>385</v>
      </c>
      <c r="K4" s="739" t="s">
        <v>386</v>
      </c>
      <c r="L4" s="732" t="s">
        <v>387</v>
      </c>
    </row>
    <row r="5" spans="2:17" x14ac:dyDescent="0.2">
      <c r="I5" s="738"/>
      <c r="J5" s="740"/>
      <c r="K5" s="740"/>
      <c r="L5" s="733"/>
    </row>
    <row r="6" spans="2:17" x14ac:dyDescent="0.2">
      <c r="B6" s="443" t="s">
        <v>388</v>
      </c>
      <c r="C6" s="734"/>
      <c r="D6" s="734"/>
      <c r="E6" s="443"/>
      <c r="F6" s="443"/>
      <c r="G6" s="50"/>
      <c r="I6" s="523" t="str">
        <f ca="1">IF(ROW(I6)-ROW(L$5)&gt;MAX(RRE!$V$13:$V$24),"",INDEX(RRE!$J$13:$J$24,MATCH(ROW(I6)-ROW(I$5),RRE!$V$13:$V$24,0)))</f>
        <v>LOTE 1</v>
      </c>
      <c r="J6" s="524">
        <f ca="1">IF(I6="","",SUMIF(RRE!$J$13:$J$24,OFÍCIO!$I6,RRE!$L$13:$L$24))</f>
        <v>399069.38999999996</v>
      </c>
      <c r="K6" s="524">
        <f ca="1">IF(J6="","",SUMIF(RRE!$J$13:$J$24,OFÍCIO!$I6,RRE!$N$13:$N$24))</f>
        <v>0</v>
      </c>
      <c r="L6" s="525">
        <f ca="1">IF(K6="","",SUMIF(RRE!$J$13:$J$24,OFÍCIO!$I6,RRE!$O$13:$O$24))</f>
        <v>0</v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35" t="str">
        <f ca="1">CONCATENATE(RRE!$E$35,", ",TEXT(RRE!$L$35,"dd"" de ""mmmm"" de ""aaaa"))</f>
        <v>ÁGUAS DE CHAPECÓ , 15 de outubro de 2026</v>
      </c>
      <c r="C8" s="735"/>
      <c r="D8" s="735"/>
      <c r="E8" s="735"/>
      <c r="F8" s="735"/>
      <c r="G8" s="735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8" t="s">
        <v>390</v>
      </c>
      <c r="C10" s="728"/>
      <c r="D10" s="728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410</v>
      </c>
      <c r="C11" s="676"/>
      <c r="D11" s="67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8" t="str">
        <f ca="1">CONCATENATE(RRE.Numero,"ª"," Solicitação de ",IF(import.recurso="OGU","Desbloqueio","Desembolso")," de Recursos.")</f>
        <v>1ª Solicitação de Desembolso de Recursos.</v>
      </c>
      <c r="D14" s="728"/>
      <c r="E14" s="728"/>
      <c r="F14" s="728"/>
      <c r="G14" s="728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29" t="str">
        <f>CONCATENATE("Contrato de ",IF(import.recurso="OGU","Repasse","Financiamento")," - Operação nº ",Import.CR,IF(Import.TransfereGOV="","",CONCATENATE(" - TransfereGOV nº ",Import.TransfereGOV)))</f>
        <v xml:space="preserve">Contrato de Financiamento - Operação nº </v>
      </c>
      <c r="D15" s="729"/>
      <c r="E15" s="729"/>
      <c r="F15" s="729"/>
      <c r="G15" s="729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29"/>
      <c r="D16" s="729"/>
      <c r="E16" s="729"/>
      <c r="F16" s="729"/>
      <c r="G16" s="729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4" t="str">
        <f>Import.DescLote</f>
        <v xml:space="preserve">SEDE ESPORTIVA </v>
      </c>
      <c r="D18" s="724"/>
      <c r="E18" s="724"/>
      <c r="F18" s="724"/>
      <c r="G18" s="724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6" t="s">
        <v>394</v>
      </c>
      <c r="C19" s="727" t="str">
        <f>Import.Proponente</f>
        <v>PREFEITURA MUNICIPAL DE ÁGUAS DE CHAPECÓ</v>
      </c>
      <c r="D19" s="727"/>
      <c r="E19" s="727"/>
      <c r="F19" s="727"/>
      <c r="G19" s="727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6"/>
      <c r="C20" s="727"/>
      <c r="D20" s="727"/>
      <c r="E20" s="727"/>
      <c r="F20" s="727"/>
      <c r="G20" s="727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4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724"/>
      <c r="D24" s="724"/>
      <c r="E24" s="724"/>
      <c r="F24" s="724"/>
      <c r="G24" s="724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4"/>
      <c r="C25" s="724"/>
      <c r="D25" s="724"/>
      <c r="E25" s="724"/>
      <c r="F25" s="724"/>
      <c r="G25" s="724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4"/>
      <c r="C26" s="724"/>
      <c r="D26" s="724"/>
      <c r="E26" s="724"/>
      <c r="F26" s="724"/>
      <c r="G26" s="724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5"/>
      <c r="C28" s="725"/>
      <c r="D28" s="730" t="s">
        <v>395</v>
      </c>
      <c r="E28" s="730" t="str">
        <f ca="1">"Evolução da "&amp;RRE.Numero&amp;"ª Medição"</f>
        <v>Evolução da 1ª Medição</v>
      </c>
      <c r="F28" s="731" t="s">
        <v>396</v>
      </c>
      <c r="G28" s="731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5"/>
      <c r="C29" s="725"/>
      <c r="D29" s="730"/>
      <c r="E29" s="730"/>
      <c r="F29" s="731"/>
      <c r="G29" s="731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19" t="str">
        <f>IF(import.recurso="FGTS","Financiamento:","Repasse:")</f>
        <v>Repasse:</v>
      </c>
      <c r="C30" s="719"/>
      <c r="D30" s="448">
        <f ca="1">RRE!L25</f>
        <v>0</v>
      </c>
      <c r="E30" s="448">
        <f ca="1">RRE!N25</f>
        <v>0</v>
      </c>
      <c r="F30" s="720">
        <f ca="1">RRE!O25</f>
        <v>0</v>
      </c>
      <c r="G30" s="720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19" t="s">
        <v>397</v>
      </c>
      <c r="C31" s="719"/>
      <c r="D31" s="448">
        <f ca="1">RRE!L26</f>
        <v>399069.38999999996</v>
      </c>
      <c r="E31" s="448">
        <f ca="1">RRE!N26</f>
        <v>0</v>
      </c>
      <c r="F31" s="720">
        <f ca="1">RRE!O26</f>
        <v>0</v>
      </c>
      <c r="G31" s="720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19" t="s">
        <v>285</v>
      </c>
      <c r="C32" s="719"/>
      <c r="D32" s="448">
        <f ca="1">RRE!L27</f>
        <v>0</v>
      </c>
      <c r="E32" s="448">
        <f ca="1">RRE!N27</f>
        <v>0</v>
      </c>
      <c r="F32" s="720">
        <f ca="1">RRE!O27</f>
        <v>0</v>
      </c>
      <c r="G32" s="720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19" t="s">
        <v>286</v>
      </c>
      <c r="C33" s="719"/>
      <c r="D33" s="448">
        <f ca="1">RRE!L28</f>
        <v>399069.38999999996</v>
      </c>
      <c r="E33" s="448">
        <f ca="1">RRE!N28</f>
        <v>0</v>
      </c>
      <c r="F33" s="720">
        <f ca="1">RRE!O28</f>
        <v>0</v>
      </c>
      <c r="G33" s="720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21" t="s">
        <v>398</v>
      </c>
      <c r="C34" s="721"/>
      <c r="D34" s="449" t="s">
        <v>166</v>
      </c>
      <c r="E34" s="450">
        <f ca="1">RRE!$N$28/(RRE!$L$28+10^-12)</f>
        <v>0</v>
      </c>
      <c r="F34" s="722">
        <f ca="1">RRE!P24</f>
        <v>0</v>
      </c>
      <c r="G34" s="722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23" t="str">
        <f ca="1">IF(RRE.Numero&gt;1,"2. Encaminhamos ainda a documentação relativa à prestação de contas da etapa físico-financeira anterior.","")</f>
        <v/>
      </c>
      <c r="C37" s="723"/>
      <c r="D37" s="723"/>
      <c r="E37" s="723"/>
      <c r="F37" s="723"/>
      <c r="G37" s="723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23"/>
      <c r="C38" s="723"/>
      <c r="D38" s="723"/>
      <c r="E38" s="723"/>
      <c r="F38" s="723"/>
      <c r="G38" s="723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23" t="str">
        <f ca="1">IF(AND(RRE.Numero&gt;1,NOT(ISBLANK(Import.TransfereGOV))),"3. Na oportunidade, informamos que a execução financeira da parcela anterior está devidamente comprovada no TransfereGOV.","")</f>
        <v/>
      </c>
      <c r="C39" s="723"/>
      <c r="D39" s="723"/>
      <c r="E39" s="723"/>
      <c r="F39" s="723"/>
      <c r="G39" s="723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23"/>
      <c r="C40" s="723"/>
      <c r="D40" s="723"/>
      <c r="E40" s="723"/>
      <c r="F40" s="723"/>
      <c r="G40" s="723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23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23"/>
      <c r="D42" s="723"/>
      <c r="E42" s="723"/>
      <c r="F42" s="723"/>
      <c r="G42" s="723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23"/>
      <c r="C43" s="723"/>
      <c r="D43" s="723"/>
      <c r="E43" s="723"/>
      <c r="F43" s="723"/>
      <c r="G43" s="723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23"/>
      <c r="C44" s="723"/>
      <c r="D44" s="723"/>
      <c r="E44" s="723"/>
      <c r="F44" s="723"/>
      <c r="G44" s="723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23"/>
      <c r="C45" s="723"/>
      <c r="D45" s="723"/>
      <c r="E45" s="723"/>
      <c r="F45" s="723"/>
      <c r="G45" s="723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23"/>
      <c r="C46" s="723"/>
      <c r="D46" s="723"/>
      <c r="E46" s="723"/>
      <c r="F46" s="723"/>
      <c r="G46" s="723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17" t="str">
        <f>DADOS!$F$28</f>
        <v>OSCAR BARELA</v>
      </c>
      <c r="C54" s="717"/>
      <c r="D54" s="717"/>
      <c r="E54" s="717"/>
      <c r="F54" s="717"/>
      <c r="G54" s="717"/>
    </row>
    <row r="55" spans="2:7" x14ac:dyDescent="0.2">
      <c r="B55" s="717" t="str">
        <f>DADOS!$F$29</f>
        <v>PREFEITO MUNICIPAL</v>
      </c>
      <c r="C55" s="717"/>
      <c r="D55" s="717"/>
      <c r="E55" s="717"/>
      <c r="F55" s="717"/>
      <c r="G55" s="717"/>
    </row>
    <row r="56" spans="2:7" x14ac:dyDescent="0.2">
      <c r="B56" s="718"/>
      <c r="C56" s="718"/>
      <c r="D56" s="718"/>
      <c r="E56" s="718"/>
      <c r="F56" s="718"/>
      <c r="G56" s="718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NOVO</vt:lpstr>
      <vt:lpstr>DADOS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Usuario</cp:lastModifiedBy>
  <cp:revision>5</cp:revision>
  <cp:lastPrinted>2026-10-15T15:13:20Z</cp:lastPrinted>
  <dcterms:created xsi:type="dcterms:W3CDTF">1997-01-10T22:22:50Z</dcterms:created>
  <dcterms:modified xsi:type="dcterms:W3CDTF">2026-10-15T15:13:53Z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